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Zhiltsova\методики\модели\шаблоны\"/>
    </mc:Choice>
  </mc:AlternateContent>
  <bookViews>
    <workbookView xWindow="0" yWindow="0" windowWidth="28800" windowHeight="11790" tabRatio="871"/>
  </bookViews>
  <sheets>
    <sheet name="ассортимент" sheetId="4" r:id="rId1"/>
    <sheet name="целевая чистая прибыль" sheetId="1" r:id="rId2"/>
    <sheet name="целевая рентабельность" sheetId="2" r:id="rId3"/>
  </sheets>
  <externalReferences>
    <externalReference r:id="rId4"/>
  </externalReferences>
  <definedNames>
    <definedName name="лизинг1м">[1]Модель!$C$165</definedName>
    <definedName name="лизинг2м">[1]Модель!$D$165</definedName>
    <definedName name="лизинг3м">[1]Модель!$E$165</definedName>
    <definedName name="лизинг4м">[1]Модель!$F$165</definedName>
    <definedName name="лизинг5м">[1]Модель!$G$165</definedName>
    <definedName name="лизинг6м">[1]Модель!$H$165</definedName>
    <definedName name="лизинг7м">[1]Модель!$I$165</definedName>
    <definedName name="лизинг8м">[1]Модель!$J$165</definedName>
    <definedName name="лизинг9м">[1]Модель!$K$165</definedName>
    <definedName name="постоянные_расходы10м">[1]Модель!$L$10:$L$18</definedName>
    <definedName name="постоянные_расходы1м">[1]Модель!$C$10:$C$18</definedName>
    <definedName name="постоянные_расходы2м">[1]Модель!$D$10:$D$18</definedName>
    <definedName name="постоянные_расходы3м">[1]Модель!$E$10:$E$18</definedName>
    <definedName name="постоянные_расходы4м">[1]Модель!$F$10:$F$18</definedName>
    <definedName name="постоянные_расходы5м">[1]Модель!$G$10:$G$18</definedName>
    <definedName name="постоянные_расходы6м">[1]Модель!$H$10:$H$18</definedName>
    <definedName name="постоянные_расходы7м">[1]Модель!$I$10:$I$18</definedName>
    <definedName name="постоянные_расходы8м">[1]Модель!$J$10:$J$18</definedName>
    <definedName name="проценты_начисленные1м">[1]Модель!$C$195</definedName>
    <definedName name="проценты_начисленные2м">[1]Модель!$D$195</definedName>
    <definedName name="проценты_начисленные3м">[1]Модель!$E$195</definedName>
    <definedName name="проценты_начисленные4м">[1]Модель!$F$195</definedName>
    <definedName name="проценты_начисленные5м">[1]Модель!$G$195</definedName>
    <definedName name="проценты_начисленные6м">[1]Модель!$H$195</definedName>
    <definedName name="проценты_начисленные7м">[1]Модель!$I$195</definedName>
    <definedName name="проценты_начисленные8м">[1]Модель!$J$195</definedName>
    <definedName name="проценты_начисленные9м">[1]Модель!$K$195</definedName>
    <definedName name="ставка_ндс">[1]Assumption!$E$13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4" l="1"/>
  <c r="J6" i="4"/>
  <c r="F7" i="4"/>
  <c r="J7" i="4"/>
  <c r="F8" i="4"/>
  <c r="J8" i="4"/>
  <c r="F9" i="4"/>
  <c r="J9" i="4"/>
  <c r="F10" i="4"/>
  <c r="J10" i="4"/>
  <c r="F11" i="4"/>
  <c r="J11" i="4"/>
  <c r="F12" i="4"/>
  <c r="J12" i="4"/>
  <c r="F13" i="4"/>
  <c r="J13" i="4"/>
  <c r="E14" i="4"/>
  <c r="I14" i="4"/>
  <c r="F21" i="4"/>
  <c r="F23" i="4"/>
  <c r="F24" i="4"/>
  <c r="F25" i="4"/>
  <c r="D19" i="2"/>
  <c r="D21" i="2" s="1"/>
  <c r="D18" i="2"/>
  <c r="E15" i="2"/>
  <c r="E11" i="2" s="1"/>
  <c r="F14" i="2"/>
  <c r="F13" i="2"/>
  <c r="D11" i="2"/>
  <c r="D15" i="2" s="1"/>
  <c r="F10" i="2"/>
  <c r="E18" i="1"/>
  <c r="F17" i="1"/>
  <c r="F16" i="1"/>
  <c r="E13" i="1"/>
  <c r="F12" i="1"/>
  <c r="F11" i="1"/>
  <c r="D9" i="1"/>
  <c r="D13" i="1" s="1"/>
  <c r="F8" i="1"/>
  <c r="F11" i="2" l="1"/>
  <c r="E8" i="2"/>
  <c r="J14" i="4"/>
  <c r="E19" i="4" s="1"/>
  <c r="E30" i="4" s="1"/>
  <c r="E32" i="4" s="1"/>
  <c r="F14" i="4"/>
  <c r="D19" i="4" s="1"/>
  <c r="F19" i="4" s="1"/>
  <c r="F15" i="2"/>
  <c r="D6" i="2"/>
  <c r="F6" i="2" s="1"/>
  <c r="E18" i="2"/>
  <c r="F18" i="2" s="1"/>
  <c r="F8" i="2"/>
  <c r="F13" i="1"/>
  <c r="D18" i="1"/>
  <c r="D14" i="1"/>
  <c r="E9" i="1"/>
  <c r="E19" i="2" l="1"/>
  <c r="F19" i="2" s="1"/>
  <c r="D30" i="4"/>
  <c r="D32" i="4" s="1"/>
  <c r="E29" i="4"/>
  <c r="E22" i="4"/>
  <c r="E26" i="4" s="1"/>
  <c r="D29" i="4"/>
  <c r="D22" i="4"/>
  <c r="D26" i="4" s="1"/>
  <c r="D27" i="4" s="1"/>
  <c r="F32" i="4"/>
  <c r="F9" i="1"/>
  <c r="D20" i="1"/>
  <c r="D19" i="1"/>
  <c r="F19" i="1" s="1"/>
  <c r="F18" i="1"/>
  <c r="E21" i="2" l="1"/>
  <c r="F21" i="2" s="1"/>
  <c r="F29" i="4"/>
  <c r="F30" i="4"/>
  <c r="F22" i="4"/>
  <c r="F26" i="4"/>
  <c r="E27" i="4"/>
  <c r="F27" i="4" s="1"/>
  <c r="D24" i="1"/>
  <c r="D26" i="1" s="1"/>
  <c r="D21" i="1"/>
  <c r="D23" i="1"/>
  <c r="F20" i="1"/>
  <c r="F6" i="1"/>
  <c r="E21" i="1"/>
  <c r="F21" i="1" s="1"/>
  <c r="E23" i="1"/>
  <c r="E24" i="1"/>
  <c r="F24" i="1" s="1"/>
  <c r="E14" i="1"/>
  <c r="F14" i="1" s="1"/>
  <c r="E26" i="1" l="1"/>
  <c r="F26" i="1" s="1"/>
  <c r="F23" i="1"/>
</calcChain>
</file>

<file path=xl/sharedStrings.xml><?xml version="1.0" encoding="utf-8"?>
<sst xmlns="http://schemas.openxmlformats.org/spreadsheetml/2006/main" count="113" uniqueCount="47">
  <si>
    <t>Показатели</t>
  </si>
  <si>
    <t>Ед. изм.</t>
  </si>
  <si>
    <t>Базовый период</t>
  </si>
  <si>
    <t>Планируемый период</t>
  </si>
  <si>
    <t>Изменение, %</t>
  </si>
  <si>
    <t>Выручка</t>
  </si>
  <si>
    <t>тыс. руб.</t>
  </si>
  <si>
    <t>Переменные расходы, всего</t>
  </si>
  <si>
    <t>Маржинальная прибыль</t>
  </si>
  <si>
    <t>Постоянные расходы всего, в т. ч.:</t>
  </si>
  <si>
    <t>амортизация</t>
  </si>
  <si>
    <t>Операционная прибыль</t>
  </si>
  <si>
    <t>Рентабельность продаж по операционной прибыли</t>
  </si>
  <si>
    <t>%</t>
  </si>
  <si>
    <t>Прочие расходы</t>
  </si>
  <si>
    <t>Начисленные проценты</t>
  </si>
  <si>
    <t>Прибыль до налогообложения</t>
  </si>
  <si>
    <t>Налог на прибыль</t>
  </si>
  <si>
    <t>Чистая прибыль</t>
  </si>
  <si>
    <t>Рентабельность продаж по чистой прибыли</t>
  </si>
  <si>
    <t xml:space="preserve">Точка безубыточности </t>
  </si>
  <si>
    <t>Точка безубыточности по денежному потоку</t>
  </si>
  <si>
    <t>Запас финансовой прочности</t>
  </si>
  <si>
    <t>Показатель</t>
  </si>
  <si>
    <t>Рентабельность</t>
  </si>
  <si>
    <t>Маржинальный доход</t>
  </si>
  <si>
    <t>Продукты</t>
  </si>
  <si>
    <t>Объем продаж, нат. ед.</t>
  </si>
  <si>
    <t>Цена, руб.</t>
  </si>
  <si>
    <t>Скидка, %</t>
  </si>
  <si>
    <t>Выручка со скидками, руб.</t>
  </si>
  <si>
    <t>продукт 1</t>
  </si>
  <si>
    <t>Итого</t>
  </si>
  <si>
    <t>руб.</t>
  </si>
  <si>
    <t>Постоянные расходы, всего</t>
  </si>
  <si>
    <t>в т.ч. амортизация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</si>
  <si>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</si>
  <si>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</si>
  <si>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</si>
  <si>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</si>
  <si>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</si>
  <si>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</si>
  <si>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</si>
  <si>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- ячейки для ввода данных</t>
  </si>
  <si>
    <t>Безубыточность по ассортименту продукции</t>
  </si>
  <si>
    <t>Безубыточность по норме рентабельности</t>
  </si>
  <si>
    <t>Безубыточность по норме чистой прибыли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</si>
</sst>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р_."/>
    <numFmt numFmtId="165" formatCode="0.0%"/>
    <numFmt numFmtId="166" formatCode="_(* #,##0_);_(* \(#,##0\);_(* &quot;-&quot;_);_(@_)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Verdana"/>
      <family val="2"/>
      <charset val="204"/>
    </font>
    <font>
      <b/>
      <sz val="11"/>
      <color theme="1"/>
      <name val="Verdana"/>
      <family val="2"/>
      <charset val="204"/>
    </font>
    <font>
      <i/>
      <sz val="11"/>
      <color theme="1"/>
      <name val="Verdana"/>
      <family val="2"/>
      <charset val="204"/>
    </font>
    <font>
      <sz val="1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i/>
      <sz val="10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12"/>
      <color theme="1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11"/>
      <color rgb="FFFF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6" xfId="0" applyFont="1" applyBorder="1"/>
    <xf numFmtId="164" fontId="5" fillId="0" borderId="6" xfId="0" applyNumberFormat="1" applyFont="1" applyBorder="1"/>
    <xf numFmtId="164" fontId="5" fillId="0" borderId="3" xfId="0" applyNumberFormat="1" applyFont="1" applyBorder="1"/>
    <xf numFmtId="165" fontId="5" fillId="0" borderId="3" xfId="1" applyNumberFormat="1" applyFont="1" applyBorder="1"/>
    <xf numFmtId="164" fontId="5" fillId="0" borderId="18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5" fillId="0" borderId="3" xfId="0" applyFont="1" applyBorder="1"/>
    <xf numFmtId="165" fontId="1" fillId="0" borderId="3" xfId="1" applyNumberFormat="1" applyFont="1" applyBorder="1"/>
    <xf numFmtId="0" fontId="6" fillId="0" borderId="0" xfId="0" applyFont="1"/>
    <xf numFmtId="0" fontId="6" fillId="0" borderId="3" xfId="0" applyFont="1" applyBorder="1" applyAlignment="1">
      <alignment horizontal="right"/>
    </xf>
    <xf numFmtId="0" fontId="6" fillId="0" borderId="3" xfId="0" applyFont="1" applyBorder="1"/>
    <xf numFmtId="0" fontId="1" fillId="0" borderId="5" xfId="0" applyFont="1" applyBorder="1"/>
    <xf numFmtId="0" fontId="7" fillId="0" borderId="0" xfId="0" applyFont="1"/>
    <xf numFmtId="0" fontId="7" fillId="0" borderId="3" xfId="0" applyFont="1" applyBorder="1"/>
    <xf numFmtId="164" fontId="7" fillId="0" borderId="3" xfId="0" applyNumberFormat="1" applyFont="1" applyBorder="1"/>
    <xf numFmtId="0" fontId="1" fillId="0" borderId="3" xfId="0" applyFont="1" applyBorder="1" applyAlignment="1">
      <alignment wrapText="1"/>
    </xf>
    <xf numFmtId="0" fontId="8" fillId="0" borderId="0" xfId="0" applyFont="1"/>
    <xf numFmtId="166" fontId="7" fillId="0" borderId="4" xfId="2" applyNumberFormat="1" applyFont="1" applyFill="1" applyBorder="1"/>
    <xf numFmtId="164" fontId="1" fillId="0" borderId="4" xfId="0" applyNumberFormat="1" applyFont="1" applyBorder="1"/>
    <xf numFmtId="3" fontId="1" fillId="0" borderId="3" xfId="0" applyNumberFormat="1" applyFont="1" applyBorder="1"/>
    <xf numFmtId="3" fontId="5" fillId="0" borderId="3" xfId="0" applyNumberFormat="1" applyFont="1" applyBorder="1"/>
    <xf numFmtId="3" fontId="1" fillId="0" borderId="17" xfId="0" applyNumberFormat="1" applyFont="1" applyBorder="1"/>
    <xf numFmtId="3" fontId="5" fillId="0" borderId="17" xfId="0" applyNumberFormat="1" applyFont="1" applyBorder="1"/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1" fillId="0" borderId="0" xfId="0" applyNumberFormat="1" applyFont="1" applyFill="1"/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" fillId="3" borderId="6" xfId="0" applyNumberFormat="1" applyFont="1" applyFill="1" applyBorder="1"/>
    <xf numFmtId="3" fontId="1" fillId="3" borderId="3" xfId="0" applyNumberFormat="1" applyFont="1" applyFill="1" applyBorder="1"/>
    <xf numFmtId="9" fontId="1" fillId="3" borderId="3" xfId="1" applyFont="1" applyFill="1" applyBorder="1"/>
    <xf numFmtId="0" fontId="10" fillId="3" borderId="0" xfId="0" applyFont="1" applyFill="1"/>
    <xf numFmtId="164" fontId="1" fillId="3" borderId="18" xfId="0" applyNumberFormat="1" applyFont="1" applyFill="1" applyBorder="1"/>
    <xf numFmtId="164" fontId="1" fillId="3" borderId="3" xfId="0" applyNumberFormat="1" applyFont="1" applyFill="1" applyBorder="1"/>
    <xf numFmtId="0" fontId="1" fillId="0" borderId="7" xfId="0" applyFont="1" applyBorder="1"/>
    <xf numFmtId="10" fontId="1" fillId="0" borderId="4" xfId="0" applyNumberFormat="1" applyFont="1" applyBorder="1"/>
    <xf numFmtId="165" fontId="1" fillId="0" borderId="5" xfId="1" applyNumberFormat="1" applyFont="1" applyBorder="1"/>
    <xf numFmtId="9" fontId="1" fillId="0" borderId="3" xfId="1" applyFont="1" applyBorder="1"/>
    <xf numFmtId="9" fontId="6" fillId="0" borderId="3" xfId="1" applyFont="1" applyBorder="1"/>
    <xf numFmtId="165" fontId="1" fillId="0" borderId="0" xfId="1" applyNumberFormat="1" applyFont="1"/>
    <xf numFmtId="166" fontId="9" fillId="0" borderId="3" xfId="2" applyNumberFormat="1" applyFont="1" applyFill="1" applyBorder="1"/>
    <xf numFmtId="0" fontId="8" fillId="0" borderId="3" xfId="0" applyFont="1" applyBorder="1"/>
    <xf numFmtId="10" fontId="1" fillId="0" borderId="0" xfId="1" applyNumberFormat="1" applyFo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166" fontId="9" fillId="0" borderId="3" xfId="2" applyNumberFormat="1" applyFont="1" applyFill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/>
    </xf>
    <xf numFmtId="165" fontId="1" fillId="0" borderId="3" xfId="1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165" fontId="6" fillId="0" borderId="3" xfId="1" applyNumberFormat="1" applyFont="1" applyBorder="1"/>
    <xf numFmtId="164" fontId="1" fillId="0" borderId="0" xfId="0" applyNumberFormat="1" applyFont="1"/>
    <xf numFmtId="165" fontId="8" fillId="0" borderId="3" xfId="1" applyNumberFormat="1" applyFont="1" applyBorder="1"/>
    <xf numFmtId="10" fontId="1" fillId="0" borderId="3" xfId="1" applyNumberFormat="1" applyFont="1" applyBorder="1"/>
    <xf numFmtId="164" fontId="15" fillId="3" borderId="3" xfId="0" applyNumberFormat="1" applyFont="1" applyFill="1" applyBorder="1"/>
    <xf numFmtId="10" fontId="4" fillId="3" borderId="3" xfId="0" applyNumberFormat="1" applyFont="1" applyFill="1" applyBorder="1"/>
    <xf numFmtId="0" fontId="4" fillId="3" borderId="16" xfId="0" applyFont="1" applyFill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1 2" xfId="2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MAIL%20STD/BEP%20DRIVER/&#1060;&#1080;&#1085;&#1072;&#1085;&#1089;&#1086;&#1074;&#1072;&#1103;%20&#1084;&#1086;&#1076;&#1077;&#1083;&#1100;%20&#1063;&#1080;&#1089;&#1090;&#1099;&#1077;%20&#1072;&#1082;&#1090;&#1080;&#1074;&#1099;%20RATIO%20MONTHLY%20DOL%20CALC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план (2)"/>
      <sheetName val="бюджет (2)"/>
      <sheetName val="допущения"/>
      <sheetName val="EVA"/>
      <sheetName val="SG"/>
      <sheetName val="DOL"/>
      <sheetName val="Риски"/>
      <sheetName val="Оценка"/>
      <sheetName val="Лист1"/>
      <sheetName val="CALC"/>
      <sheetName val="Assumption"/>
      <sheetName val="Summary"/>
      <sheetName val="Модель"/>
      <sheetName val="breakeven"/>
      <sheetName val="финплан"/>
      <sheetName val="бюджет"/>
      <sheetName val="МАРКЕТИНГ"/>
      <sheetName val="breakeven (2)"/>
      <sheetName val="TAX"/>
      <sheetName val="амортизация нормы"/>
      <sheetName val="tax чистые активы"/>
      <sheetName val="налог на имущество"/>
      <sheetName val="лизинг"/>
      <sheetName val="bep example"/>
      <sheetName val="CALC I"/>
      <sheetName val="W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0.18</v>
          </cell>
        </row>
      </sheetData>
      <sheetData sheetId="11"/>
      <sheetData sheetId="12">
        <row r="10">
          <cell r="C10">
            <v>819000</v>
          </cell>
          <cell r="D10">
            <v>819000</v>
          </cell>
          <cell r="E10">
            <v>819000</v>
          </cell>
          <cell r="F10">
            <v>819000</v>
          </cell>
          <cell r="G10">
            <v>819000</v>
          </cell>
          <cell r="H10">
            <v>819000</v>
          </cell>
          <cell r="I10">
            <v>819000</v>
          </cell>
          <cell r="J10">
            <v>819000</v>
          </cell>
          <cell r="L10">
            <v>819000</v>
          </cell>
        </row>
        <row r="11">
          <cell r="C11">
            <v>6593220.3389830515</v>
          </cell>
          <cell r="D11">
            <v>13241253.549117614</v>
          </cell>
          <cell r="E11">
            <v>16782726.179269433</v>
          </cell>
          <cell r="F11">
            <v>16852487.94668651</v>
          </cell>
          <cell r="G11">
            <v>16922539.697038494</v>
          </cell>
          <cell r="H11">
            <v>16992882.635714889</v>
          </cell>
          <cell r="I11">
            <v>17063517.973115716</v>
          </cell>
          <cell r="J11">
            <v>17134446.924672347</v>
          </cell>
          <cell r="L11">
            <v>17277190.557260767</v>
          </cell>
        </row>
        <row r="12">
          <cell r="C12">
            <v>950000</v>
          </cell>
          <cell r="D12">
            <v>401662.7040606371</v>
          </cell>
          <cell r="E12">
            <v>403332.31958325731</v>
          </cell>
          <cell r="F12">
            <v>405008.87529715034</v>
          </cell>
          <cell r="G12">
            <v>406692.4000510269</v>
          </cell>
          <cell r="H12">
            <v>408382.92281351454</v>
          </cell>
          <cell r="I12">
            <v>410080.47267365665</v>
          </cell>
          <cell r="J12">
            <v>411785.07884141279</v>
          </cell>
          <cell r="L12">
            <v>415215.57754720375</v>
          </cell>
        </row>
        <row r="13">
          <cell r="C13">
            <v>500000</v>
          </cell>
          <cell r="D13">
            <v>502078.38007579633</v>
          </cell>
          <cell r="E13">
            <v>504165.39947907155</v>
          </cell>
          <cell r="F13">
            <v>506261.09412143793</v>
          </cell>
          <cell r="G13">
            <v>508365.50006378361</v>
          </cell>
          <cell r="H13">
            <v>510478.65351689322</v>
          </cell>
          <cell r="I13">
            <v>512600.59084207087</v>
          </cell>
          <cell r="J13">
            <v>514731.34855176602</v>
          </cell>
          <cell r="L13">
            <v>519019.47193400469</v>
          </cell>
        </row>
        <row r="14">
          <cell r="C14">
            <v>50000</v>
          </cell>
          <cell r="D14">
            <v>50207.83800757963</v>
          </cell>
          <cell r="E14">
            <v>50416.539947907157</v>
          </cell>
          <cell r="F14">
            <v>50626.109412143793</v>
          </cell>
          <cell r="G14">
            <v>50836.550006378362</v>
          </cell>
          <cell r="H14">
            <v>51047.865351689317</v>
          </cell>
          <cell r="I14">
            <v>51260.059084207081</v>
          </cell>
          <cell r="J14">
            <v>51473.134855176599</v>
          </cell>
          <cell r="L14">
            <v>51901.947193400461</v>
          </cell>
        </row>
        <row r="15">
          <cell r="C15">
            <v>1200000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  <row r="16">
          <cell r="C16">
            <v>5000000</v>
          </cell>
          <cell r="D16">
            <v>5000000</v>
          </cell>
          <cell r="E16">
            <v>5000000</v>
          </cell>
          <cell r="F16">
            <v>5000000</v>
          </cell>
          <cell r="G16">
            <v>5000000</v>
          </cell>
          <cell r="H16">
            <v>5000000</v>
          </cell>
          <cell r="I16">
            <v>5000000</v>
          </cell>
          <cell r="J16">
            <v>5000000</v>
          </cell>
          <cell r="L16">
            <v>5000000</v>
          </cell>
        </row>
        <row r="17">
          <cell r="C17">
            <v>2500000</v>
          </cell>
          <cell r="D17">
            <v>2500000</v>
          </cell>
          <cell r="E17">
            <v>2500000</v>
          </cell>
          <cell r="F17">
            <v>2500000</v>
          </cell>
          <cell r="G17">
            <v>2500000</v>
          </cell>
          <cell r="H17">
            <v>2500000</v>
          </cell>
          <cell r="I17">
            <v>2500000</v>
          </cell>
          <cell r="J17">
            <v>2500000</v>
          </cell>
          <cell r="L17">
            <v>2500000</v>
          </cell>
        </row>
        <row r="18">
          <cell r="C18">
            <v>2500000</v>
          </cell>
          <cell r="D18">
            <v>2500000</v>
          </cell>
          <cell r="E18">
            <v>2560.9374999999995</v>
          </cell>
          <cell r="F18">
            <v>0</v>
          </cell>
          <cell r="G18">
            <v>0</v>
          </cell>
          <cell r="H18">
            <v>2646.8749999999991</v>
          </cell>
          <cell r="I18">
            <v>0</v>
          </cell>
          <cell r="J18">
            <v>0</v>
          </cell>
          <cell r="L18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95">
          <cell r="C195">
            <v>486174.86338797823</v>
          </cell>
          <cell r="D195">
            <v>737677.59562841535</v>
          </cell>
          <cell r="E195">
            <v>972349.72677595646</v>
          </cell>
          <cell r="F195">
            <v>912295.08196721331</v>
          </cell>
          <cell r="G195">
            <v>658114.75409836078</v>
          </cell>
          <cell r="H195">
            <v>195081.96721311475</v>
          </cell>
          <cell r="I195">
            <v>0</v>
          </cell>
          <cell r="J195">
            <v>0</v>
          </cell>
          <cell r="K19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41" sqref="D41"/>
    </sheetView>
  </sheetViews>
  <sheetFormatPr defaultRowHeight="14.25" x14ac:dyDescent="0.2"/>
  <cols>
    <col min="1" max="1" width="4.42578125" style="1" customWidth="1"/>
    <col min="2" max="2" width="43.28515625" style="1" customWidth="1"/>
    <col min="3" max="7" width="16.28515625" style="1" customWidth="1"/>
    <col min="8" max="8" width="14" style="1" bestFit="1" customWidth="1"/>
    <col min="9" max="9" width="14.140625" style="1" bestFit="1" customWidth="1"/>
    <col min="10" max="10" width="16.28515625" style="1" customWidth="1"/>
    <col min="11" max="12" width="13.28515625" style="1" bestFit="1" customWidth="1"/>
    <col min="13" max="16384" width="9.140625" style="1"/>
  </cols>
  <sheetData>
    <row r="1" spans="2:10" s="40" customFormat="1" ht="24.75" customHeight="1" x14ac:dyDescent="0.25">
      <c r="B1" s="41" t="s">
        <v>44</v>
      </c>
    </row>
    <row r="2" spans="2:10" x14ac:dyDescent="0.2">
      <c r="B2" s="45"/>
      <c r="C2" s="39" t="s">
        <v>43</v>
      </c>
    </row>
    <row r="4" spans="2:10" ht="22.15" customHeight="1" x14ac:dyDescent="0.2">
      <c r="B4" s="81" t="s">
        <v>26</v>
      </c>
      <c r="C4" s="83" t="s">
        <v>2</v>
      </c>
      <c r="D4" s="83"/>
      <c r="E4" s="83"/>
      <c r="F4" s="83"/>
      <c r="G4" s="84" t="s">
        <v>3</v>
      </c>
      <c r="H4" s="85"/>
      <c r="I4" s="85"/>
      <c r="J4" s="86"/>
    </row>
    <row r="5" spans="2:10" s="2" customFormat="1" ht="52.5" customHeight="1" x14ac:dyDescent="0.25">
      <c r="B5" s="82"/>
      <c r="C5" s="3" t="s">
        <v>27</v>
      </c>
      <c r="D5" s="4" t="s">
        <v>28</v>
      </c>
      <c r="E5" s="4" t="s">
        <v>29</v>
      </c>
      <c r="F5" s="5" t="s">
        <v>30</v>
      </c>
      <c r="G5" s="6" t="s">
        <v>27</v>
      </c>
      <c r="H5" s="4" t="s">
        <v>28</v>
      </c>
      <c r="I5" s="4" t="s">
        <v>29</v>
      </c>
      <c r="J5" s="7" t="s">
        <v>30</v>
      </c>
    </row>
    <row r="6" spans="2:10" x14ac:dyDescent="0.2">
      <c r="B6" s="80" t="s">
        <v>31</v>
      </c>
      <c r="C6" s="42">
        <v>100</v>
      </c>
      <c r="D6" s="43">
        <v>2000</v>
      </c>
      <c r="E6" s="44">
        <v>0</v>
      </c>
      <c r="F6" s="32">
        <f t="shared" ref="F6:F13" si="0">C6*D6*(1-E6)</f>
        <v>200000</v>
      </c>
      <c r="G6" s="46">
        <v>150</v>
      </c>
      <c r="H6" s="43">
        <v>2000</v>
      </c>
      <c r="I6" s="44">
        <v>0.05</v>
      </c>
      <c r="J6" s="30">
        <f t="shared" ref="J6:J13" si="1">G6*H6*(1-I6)</f>
        <v>285000</v>
      </c>
    </row>
    <row r="7" spans="2:10" x14ac:dyDescent="0.2">
      <c r="B7" s="80" t="s">
        <v>36</v>
      </c>
      <c r="C7" s="42">
        <v>200</v>
      </c>
      <c r="D7" s="43">
        <v>1900</v>
      </c>
      <c r="E7" s="44">
        <v>0</v>
      </c>
      <c r="F7" s="32">
        <f t="shared" si="0"/>
        <v>380000</v>
      </c>
      <c r="G7" s="46">
        <v>220</v>
      </c>
      <c r="H7" s="43">
        <v>1900</v>
      </c>
      <c r="I7" s="44">
        <v>0.02</v>
      </c>
      <c r="J7" s="30">
        <f t="shared" si="1"/>
        <v>409640</v>
      </c>
    </row>
    <row r="8" spans="2:10" x14ac:dyDescent="0.2">
      <c r="B8" s="80" t="s">
        <v>37</v>
      </c>
      <c r="C8" s="42">
        <v>300</v>
      </c>
      <c r="D8" s="43">
        <v>1800</v>
      </c>
      <c r="E8" s="44">
        <v>0</v>
      </c>
      <c r="F8" s="32">
        <f t="shared" si="0"/>
        <v>540000</v>
      </c>
      <c r="G8" s="46">
        <v>350</v>
      </c>
      <c r="H8" s="43">
        <v>1800</v>
      </c>
      <c r="I8" s="44">
        <v>0.03</v>
      </c>
      <c r="J8" s="30">
        <f t="shared" si="1"/>
        <v>611100</v>
      </c>
    </row>
    <row r="9" spans="2:10" x14ac:dyDescent="0.2">
      <c r="B9" s="80" t="s">
        <v>38</v>
      </c>
      <c r="C9" s="42">
        <v>100</v>
      </c>
      <c r="D9" s="43">
        <v>1700</v>
      </c>
      <c r="E9" s="44">
        <v>0</v>
      </c>
      <c r="F9" s="32">
        <f t="shared" si="0"/>
        <v>170000</v>
      </c>
      <c r="G9" s="46">
        <v>180</v>
      </c>
      <c r="H9" s="43">
        <v>1700</v>
      </c>
      <c r="I9" s="44">
        <v>0.04</v>
      </c>
      <c r="J9" s="30">
        <f t="shared" si="1"/>
        <v>293760</v>
      </c>
    </row>
    <row r="10" spans="2:10" x14ac:dyDescent="0.2">
      <c r="B10" s="80" t="s">
        <v>39</v>
      </c>
      <c r="C10" s="42">
        <v>200</v>
      </c>
      <c r="D10" s="43">
        <v>1600</v>
      </c>
      <c r="E10" s="44">
        <v>0</v>
      </c>
      <c r="F10" s="32">
        <f t="shared" si="0"/>
        <v>320000</v>
      </c>
      <c r="G10" s="46">
        <v>250</v>
      </c>
      <c r="H10" s="43">
        <v>1600</v>
      </c>
      <c r="I10" s="44">
        <v>0.05</v>
      </c>
      <c r="J10" s="30">
        <f t="shared" si="1"/>
        <v>380000</v>
      </c>
    </row>
    <row r="11" spans="2:10" x14ac:dyDescent="0.2">
      <c r="B11" s="80" t="s">
        <v>40</v>
      </c>
      <c r="C11" s="42">
        <v>300</v>
      </c>
      <c r="D11" s="43">
        <v>1500</v>
      </c>
      <c r="E11" s="44">
        <v>0.01</v>
      </c>
      <c r="F11" s="32">
        <f t="shared" si="0"/>
        <v>445500</v>
      </c>
      <c r="G11" s="46">
        <v>300</v>
      </c>
      <c r="H11" s="43">
        <v>1500</v>
      </c>
      <c r="I11" s="44">
        <v>0.01</v>
      </c>
      <c r="J11" s="30">
        <f t="shared" si="1"/>
        <v>445500</v>
      </c>
    </row>
    <row r="12" spans="2:10" x14ac:dyDescent="0.2">
      <c r="B12" s="80" t="s">
        <v>41</v>
      </c>
      <c r="C12" s="42">
        <v>100</v>
      </c>
      <c r="D12" s="43">
        <v>1400</v>
      </c>
      <c r="E12" s="44">
        <v>0.02</v>
      </c>
      <c r="F12" s="32">
        <f t="shared" si="0"/>
        <v>137200</v>
      </c>
      <c r="G12" s="46">
        <v>100</v>
      </c>
      <c r="H12" s="43">
        <v>1400</v>
      </c>
      <c r="I12" s="44">
        <v>0.02</v>
      </c>
      <c r="J12" s="30">
        <f t="shared" si="1"/>
        <v>137200</v>
      </c>
    </row>
    <row r="13" spans="2:10" ht="15" customHeight="1" x14ac:dyDescent="0.2">
      <c r="B13" s="80" t="s">
        <v>42</v>
      </c>
      <c r="C13" s="42">
        <v>200</v>
      </c>
      <c r="D13" s="43">
        <v>1200</v>
      </c>
      <c r="E13" s="44">
        <v>0.03</v>
      </c>
      <c r="F13" s="32">
        <f t="shared" si="0"/>
        <v>232800</v>
      </c>
      <c r="G13" s="46">
        <v>200</v>
      </c>
      <c r="H13" s="43">
        <v>1200</v>
      </c>
      <c r="I13" s="44">
        <v>0.03</v>
      </c>
      <c r="J13" s="30">
        <f t="shared" si="1"/>
        <v>232800</v>
      </c>
    </row>
    <row r="14" spans="2:10" s="8" customFormat="1" ht="15" customHeight="1" x14ac:dyDescent="0.2">
      <c r="B14" s="9" t="s">
        <v>32</v>
      </c>
      <c r="C14" s="10"/>
      <c r="D14" s="11"/>
      <c r="E14" s="12">
        <f>AVERAGE(E6:E13)</f>
        <v>7.4999999999999997E-3</v>
      </c>
      <c r="F14" s="33">
        <f>SUM(F6:F13)</f>
        <v>2425500</v>
      </c>
      <c r="G14" s="13"/>
      <c r="H14" s="11"/>
      <c r="I14" s="12">
        <f>AVERAGE(I6:I13)</f>
        <v>3.125E-2</v>
      </c>
      <c r="J14" s="31">
        <f>SUM(J6:J13)</f>
        <v>2795000</v>
      </c>
    </row>
    <row r="17" spans="2:6" s="2" customFormat="1" ht="33.6" customHeight="1" x14ac:dyDescent="0.25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</row>
    <row r="18" spans="2:6" x14ac:dyDescent="0.2">
      <c r="B18" s="14"/>
      <c r="C18" s="34"/>
      <c r="D18" s="15"/>
      <c r="E18" s="15"/>
      <c r="F18" s="16"/>
    </row>
    <row r="19" spans="2:6" s="8" customFormat="1" x14ac:dyDescent="0.2">
      <c r="B19" s="17" t="s">
        <v>5</v>
      </c>
      <c r="C19" s="35" t="s">
        <v>33</v>
      </c>
      <c r="D19" s="11">
        <f>ассортимент!F14</f>
        <v>2425500</v>
      </c>
      <c r="E19" s="11">
        <f>ассортимент!J14</f>
        <v>2795000</v>
      </c>
      <c r="F19" s="18">
        <f>IFERROR((E19-D19)/D19,"")</f>
        <v>0.15233972376829519</v>
      </c>
    </row>
    <row r="20" spans="2:6" s="19" customFormat="1" x14ac:dyDescent="0.2">
      <c r="B20" s="20"/>
      <c r="C20" s="36"/>
      <c r="D20" s="15"/>
      <c r="E20" s="15"/>
      <c r="F20" s="22"/>
    </row>
    <row r="21" spans="2:6" x14ac:dyDescent="0.2">
      <c r="B21" s="14" t="s">
        <v>7</v>
      </c>
      <c r="C21" s="34" t="s">
        <v>33</v>
      </c>
      <c r="D21" s="47">
        <v>1338300</v>
      </c>
      <c r="E21" s="47">
        <v>1569780</v>
      </c>
      <c r="F21" s="18">
        <f t="shared" ref="F21:F26" si="2">IFERROR((E21-D21)/D21,"")</f>
        <v>0.17296570275722933</v>
      </c>
    </row>
    <row r="22" spans="2:6" x14ac:dyDescent="0.2">
      <c r="B22" s="14" t="s">
        <v>25</v>
      </c>
      <c r="C22" s="34" t="s">
        <v>33</v>
      </c>
      <c r="D22" s="15">
        <f>D$19-D$21</f>
        <v>1087200</v>
      </c>
      <c r="E22" s="15">
        <f>E$19-E$21</f>
        <v>1225220</v>
      </c>
      <c r="F22" s="18">
        <f t="shared" si="2"/>
        <v>0.12694996320824137</v>
      </c>
    </row>
    <row r="23" spans="2:6" x14ac:dyDescent="0.2">
      <c r="B23" s="14"/>
      <c r="C23" s="36"/>
      <c r="D23" s="21"/>
      <c r="E23" s="21"/>
      <c r="F23" s="18" t="str">
        <f t="shared" si="2"/>
        <v/>
      </c>
    </row>
    <row r="24" spans="2:6" x14ac:dyDescent="0.2">
      <c r="B24" s="14" t="s">
        <v>34</v>
      </c>
      <c r="C24" s="34" t="s">
        <v>33</v>
      </c>
      <c r="D24" s="47">
        <v>490000</v>
      </c>
      <c r="E24" s="47">
        <v>490000</v>
      </c>
      <c r="F24" s="18">
        <f t="shared" si="2"/>
        <v>0</v>
      </c>
    </row>
    <row r="25" spans="2:6" x14ac:dyDescent="0.2">
      <c r="B25" s="14" t="s">
        <v>35</v>
      </c>
      <c r="C25" s="34" t="s">
        <v>33</v>
      </c>
      <c r="D25" s="47">
        <v>52000</v>
      </c>
      <c r="E25" s="47">
        <v>52000</v>
      </c>
      <c r="F25" s="18">
        <f t="shared" si="2"/>
        <v>0</v>
      </c>
    </row>
    <row r="26" spans="2:6" x14ac:dyDescent="0.2">
      <c r="B26" s="14" t="s">
        <v>11</v>
      </c>
      <c r="C26" s="34" t="s">
        <v>33</v>
      </c>
      <c r="D26" s="15">
        <f>D$22-D$24</f>
        <v>597200</v>
      </c>
      <c r="E26" s="15">
        <f>E$22-E$24</f>
        <v>735220</v>
      </c>
      <c r="F26" s="18">
        <f t="shared" si="2"/>
        <v>0.23111185532484929</v>
      </c>
    </row>
    <row r="27" spans="2:6" x14ac:dyDescent="0.2">
      <c r="B27" s="14" t="s">
        <v>24</v>
      </c>
      <c r="C27" s="34" t="s">
        <v>13</v>
      </c>
      <c r="D27" s="18">
        <f>D$26/D$19</f>
        <v>0.24621727478870337</v>
      </c>
      <c r="E27" s="18">
        <f>E$26/E$19</f>
        <v>0.26304830053667261</v>
      </c>
      <c r="F27" s="18">
        <f>E27-D27</f>
        <v>1.6831025747969242E-2</v>
      </c>
    </row>
    <row r="28" spans="2:6" x14ac:dyDescent="0.2">
      <c r="B28" s="14"/>
      <c r="C28" s="34"/>
      <c r="D28" s="15"/>
      <c r="E28" s="15"/>
      <c r="F28" s="18"/>
    </row>
    <row r="29" spans="2:6" s="23" customFormat="1" x14ac:dyDescent="0.2">
      <c r="B29" s="24" t="s">
        <v>20</v>
      </c>
      <c r="C29" s="37" t="s">
        <v>33</v>
      </c>
      <c r="D29" s="25">
        <f>D$24/(1-D$21/D$19)</f>
        <v>1093170.5298013245</v>
      </c>
      <c r="E29" s="25">
        <f>E$24/(1-E$21/E$19)</f>
        <v>1117799.2523791646</v>
      </c>
      <c r="F29" s="18">
        <f>IFERROR((E29-D29)/D29,"")</f>
        <v>2.2529625439423596E-2</v>
      </c>
    </row>
    <row r="30" spans="2:6" ht="28.5" x14ac:dyDescent="0.2">
      <c r="B30" s="26" t="s">
        <v>21</v>
      </c>
      <c r="C30" s="34" t="s">
        <v>33</v>
      </c>
      <c r="D30" s="25">
        <f>(D$24-D$25)/(1-D$21/D$19)</f>
        <v>977160.59602649009</v>
      </c>
      <c r="E30" s="25">
        <f>(E$24-E$25)/(1-E$21/E$19)</f>
        <v>999175.65824913071</v>
      </c>
      <c r="F30" s="18">
        <f>IFERROR((E30-D30)/D30,"")</f>
        <v>2.2529625439423471E-2</v>
      </c>
    </row>
    <row r="31" spans="2:6" x14ac:dyDescent="0.2">
      <c r="B31" s="28"/>
      <c r="C31" s="38"/>
      <c r="D31" s="29"/>
      <c r="E31" s="29"/>
      <c r="F31" s="29"/>
    </row>
    <row r="32" spans="2:6" x14ac:dyDescent="0.2">
      <c r="B32" s="14" t="s">
        <v>22</v>
      </c>
      <c r="C32" s="36" t="s">
        <v>13</v>
      </c>
      <c r="D32" s="18">
        <f>(D$19-D30)/D$19</f>
        <v>0.59713024282560712</v>
      </c>
      <c r="E32" s="18">
        <f>(E$19-E30)/E$19</f>
        <v>0.64251318130621438</v>
      </c>
      <c r="F32" s="18">
        <f>E32-D32</f>
        <v>4.538293848060726E-2</v>
      </c>
    </row>
  </sheetData>
  <mergeCells count="3">
    <mergeCell ref="B4:B5"/>
    <mergeCell ref="C4:F4"/>
    <mergeCell ref="G4:J4"/>
  </mergeCells>
  <pageMargins left="0.70866141732283472" right="0.53" top="0.74803149606299213" bottom="0.82" header="0.31496062992125984" footer="0.31496062992125984"/>
  <pageSetup paperSize="9" scale="51" orientation="portrait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20" sqref="I20"/>
    </sheetView>
  </sheetViews>
  <sheetFormatPr defaultRowHeight="14.25" x14ac:dyDescent="0.2"/>
  <cols>
    <col min="1" max="1" width="2.140625" style="1" customWidth="1"/>
    <col min="2" max="2" width="51.7109375" style="1" customWidth="1"/>
    <col min="3" max="3" width="10.140625" style="1" customWidth="1"/>
    <col min="4" max="6" width="14.5703125" style="1" customWidth="1"/>
    <col min="7" max="7" width="13.7109375" style="1" customWidth="1"/>
    <col min="8" max="16384" width="9.140625" style="1"/>
  </cols>
  <sheetData>
    <row r="1" spans="2:7" s="40" customFormat="1" ht="24.75" customHeight="1" x14ac:dyDescent="0.25">
      <c r="B1" s="41" t="s">
        <v>46</v>
      </c>
    </row>
    <row r="2" spans="2:7" x14ac:dyDescent="0.2">
      <c r="B2" s="45"/>
      <c r="C2" s="39" t="s">
        <v>43</v>
      </c>
    </row>
    <row r="4" spans="2:7" s="72" customFormat="1" ht="36" customHeight="1" x14ac:dyDescent="0.25">
      <c r="B4" s="70" t="s">
        <v>0</v>
      </c>
      <c r="C4" s="71" t="s">
        <v>1</v>
      </c>
      <c r="D4" s="4" t="s">
        <v>2</v>
      </c>
      <c r="E4" s="4" t="s">
        <v>3</v>
      </c>
      <c r="F4" s="4" t="s">
        <v>4</v>
      </c>
    </row>
    <row r="5" spans="2:7" x14ac:dyDescent="0.2">
      <c r="B5" s="14"/>
      <c r="C5" s="64"/>
      <c r="D5" s="15"/>
      <c r="E5" s="15"/>
      <c r="F5" s="16"/>
    </row>
    <row r="6" spans="2:7" s="8" customFormat="1" x14ac:dyDescent="0.2">
      <c r="B6" s="17" t="s">
        <v>5</v>
      </c>
      <c r="C6" s="73" t="s">
        <v>6</v>
      </c>
      <c r="D6" s="47">
        <v>300000</v>
      </c>
      <c r="E6" s="15">
        <f>$E$8+E$9</f>
        <v>301550</v>
      </c>
      <c r="F6" s="18">
        <f>IFERROR((E6-D6)/D6,"")</f>
        <v>5.1666666666666666E-3</v>
      </c>
    </row>
    <row r="7" spans="2:7" s="19" customFormat="1" x14ac:dyDescent="0.2">
      <c r="B7" s="20"/>
      <c r="C7" s="65"/>
      <c r="D7" s="15"/>
      <c r="E7" s="74"/>
      <c r="F7" s="14"/>
    </row>
    <row r="8" spans="2:7" x14ac:dyDescent="0.2">
      <c r="B8" s="14" t="s">
        <v>7</v>
      </c>
      <c r="C8" s="64" t="s">
        <v>6</v>
      </c>
      <c r="D8" s="47">
        <v>105000</v>
      </c>
      <c r="E8" s="47">
        <v>105550</v>
      </c>
      <c r="F8" s="18">
        <f>IFERROR((E8-D8)/D8,"")</f>
        <v>5.2380952380952379E-3</v>
      </c>
    </row>
    <row r="9" spans="2:7" x14ac:dyDescent="0.2">
      <c r="B9" s="14" t="s">
        <v>8</v>
      </c>
      <c r="C9" s="64" t="s">
        <v>6</v>
      </c>
      <c r="D9" s="15">
        <f>D$6-D$8</f>
        <v>195000</v>
      </c>
      <c r="E9" s="15">
        <f>$E$11+$E$13</f>
        <v>196000</v>
      </c>
      <c r="F9" s="18">
        <f>IFERROR((E9-D9)/D9,"")</f>
        <v>5.1282051282051282E-3</v>
      </c>
      <c r="G9" s="75"/>
    </row>
    <row r="10" spans="2:7" x14ac:dyDescent="0.2">
      <c r="B10" s="14"/>
      <c r="C10" s="65"/>
      <c r="D10" s="51"/>
      <c r="E10" s="51"/>
      <c r="F10" s="51"/>
    </row>
    <row r="11" spans="2:7" x14ac:dyDescent="0.2">
      <c r="B11" s="14" t="s">
        <v>9</v>
      </c>
      <c r="C11" s="64" t="s">
        <v>6</v>
      </c>
      <c r="D11" s="47">
        <v>190000</v>
      </c>
      <c r="E11" s="47">
        <v>190000</v>
      </c>
      <c r="F11" s="51">
        <f>IFERROR((E11-D11)/D11,"")</f>
        <v>0</v>
      </c>
    </row>
    <row r="12" spans="2:7" x14ac:dyDescent="0.2">
      <c r="B12" s="14" t="s">
        <v>10</v>
      </c>
      <c r="C12" s="64" t="s">
        <v>6</v>
      </c>
      <c r="D12" s="47">
        <v>12000</v>
      </c>
      <c r="E12" s="47">
        <v>12000</v>
      </c>
      <c r="F12" s="51">
        <f t="shared" ref="F12:F13" si="0">IFERROR((E12-D12)/D12,"")</f>
        <v>0</v>
      </c>
    </row>
    <row r="13" spans="2:7" x14ac:dyDescent="0.2">
      <c r="B13" s="14" t="s">
        <v>11</v>
      </c>
      <c r="C13" s="64" t="s">
        <v>6</v>
      </c>
      <c r="D13" s="15">
        <f>D$9-D$11</f>
        <v>5000</v>
      </c>
      <c r="E13" s="15">
        <f>$E$18+E$17+$E$16</f>
        <v>6000</v>
      </c>
      <c r="F13" s="51">
        <f t="shared" si="0"/>
        <v>0.2</v>
      </c>
      <c r="G13" s="75"/>
    </row>
    <row r="14" spans="2:7" x14ac:dyDescent="0.2">
      <c r="B14" s="14" t="s">
        <v>12</v>
      </c>
      <c r="C14" s="64" t="s">
        <v>13</v>
      </c>
      <c r="D14" s="18">
        <f>D$13/D$6</f>
        <v>1.6666666666666666E-2</v>
      </c>
      <c r="E14" s="18">
        <f>E$13/E$6</f>
        <v>1.9897197811308241E-2</v>
      </c>
      <c r="F14" s="18">
        <f>E14-D14</f>
        <v>3.2305311446415748E-3</v>
      </c>
    </row>
    <row r="15" spans="2:7" x14ac:dyDescent="0.2">
      <c r="B15" s="14"/>
      <c r="C15" s="64"/>
      <c r="D15" s="18"/>
      <c r="E15" s="18"/>
      <c r="F15" s="18"/>
    </row>
    <row r="16" spans="2:7" x14ac:dyDescent="0.2">
      <c r="B16" s="14" t="s">
        <v>14</v>
      </c>
      <c r="C16" s="64" t="s">
        <v>6</v>
      </c>
      <c r="D16" s="47">
        <v>0</v>
      </c>
      <c r="E16" s="47">
        <v>0</v>
      </c>
      <c r="F16" s="51" t="str">
        <f>IFERROR((E16-D16)/D16,"")</f>
        <v/>
      </c>
    </row>
    <row r="17" spans="2:7" x14ac:dyDescent="0.2">
      <c r="B17" s="14" t="s">
        <v>15</v>
      </c>
      <c r="C17" s="64" t="s">
        <v>6</v>
      </c>
      <c r="D17" s="47">
        <v>1000</v>
      </c>
      <c r="E17" s="47">
        <v>1000</v>
      </c>
      <c r="F17" s="51">
        <f>IFERROR((E17-D17)/D17,"")</f>
        <v>0</v>
      </c>
    </row>
    <row r="18" spans="2:7" x14ac:dyDescent="0.2">
      <c r="B18" s="14" t="s">
        <v>16</v>
      </c>
      <c r="C18" s="64" t="s">
        <v>6</v>
      </c>
      <c r="D18" s="15">
        <f>$D$13-$D$17</f>
        <v>4000</v>
      </c>
      <c r="E18" s="15">
        <f>$E$20/(1-20%)</f>
        <v>5000</v>
      </c>
      <c r="F18" s="51">
        <f t="shared" ref="F18:F20" si="1">IFERROR((E18-D18)/D18,"")</f>
        <v>0.25</v>
      </c>
      <c r="G18" s="75"/>
    </row>
    <row r="19" spans="2:7" x14ac:dyDescent="0.2">
      <c r="B19" s="14" t="s">
        <v>17</v>
      </c>
      <c r="C19" s="64" t="s">
        <v>6</v>
      </c>
      <c r="D19" s="15">
        <f>D$18*20%</f>
        <v>800</v>
      </c>
      <c r="E19" s="15">
        <v>4000</v>
      </c>
      <c r="F19" s="51">
        <f t="shared" si="1"/>
        <v>4</v>
      </c>
    </row>
    <row r="20" spans="2:7" x14ac:dyDescent="0.2">
      <c r="B20" s="17" t="s">
        <v>18</v>
      </c>
      <c r="C20" s="73" t="s">
        <v>6</v>
      </c>
      <c r="D20" s="15">
        <f>D$18-D$19</f>
        <v>3200</v>
      </c>
      <c r="E20" s="78">
        <v>4000</v>
      </c>
      <c r="F20" s="51">
        <f t="shared" si="1"/>
        <v>0.25</v>
      </c>
      <c r="G20" s="75"/>
    </row>
    <row r="21" spans="2:7" x14ac:dyDescent="0.2">
      <c r="B21" s="14" t="s">
        <v>19</v>
      </c>
      <c r="C21" s="64" t="s">
        <v>13</v>
      </c>
      <c r="D21" s="18">
        <f>D$20/D$6</f>
        <v>1.0666666666666666E-2</v>
      </c>
      <c r="E21" s="18">
        <f>E$20/E$6</f>
        <v>1.3264798540872161E-2</v>
      </c>
      <c r="F21" s="18">
        <f>E21-D21</f>
        <v>2.5981318742054945E-3</v>
      </c>
    </row>
    <row r="22" spans="2:7" x14ac:dyDescent="0.2">
      <c r="B22" s="14"/>
      <c r="C22" s="64"/>
      <c r="D22" s="15"/>
      <c r="E22" s="15"/>
      <c r="F22" s="15"/>
    </row>
    <row r="23" spans="2:7" s="23" customFormat="1" x14ac:dyDescent="0.2">
      <c r="B23" s="24" t="s">
        <v>20</v>
      </c>
      <c r="C23" s="66" t="s">
        <v>6</v>
      </c>
      <c r="D23" s="25">
        <f>(D$11+D$20)/(1-D$8/D$6)</f>
        <v>297230.76923076925</v>
      </c>
      <c r="E23" s="25">
        <f>(E$11+E$20)/(1-E$8/E$6)</f>
        <v>298472.95918367349</v>
      </c>
      <c r="F23" s="18">
        <f t="shared" ref="F23:F24" si="2">(E23-D23)/D23</f>
        <v>4.1792105040774187E-3</v>
      </c>
    </row>
    <row r="24" spans="2:7" x14ac:dyDescent="0.2">
      <c r="B24" s="14" t="s">
        <v>21</v>
      </c>
      <c r="C24" s="64" t="s">
        <v>6</v>
      </c>
      <c r="D24" s="25">
        <f>((D$11+D$20)-D$12)/(1-D$8/D$6)</f>
        <v>278769.23076923075</v>
      </c>
      <c r="E24" s="25">
        <f>((E$11+E$20)-E$12)/(1-E$8/E$6)</f>
        <v>280010.71428571426</v>
      </c>
      <c r="F24" s="18">
        <f t="shared" si="2"/>
        <v>4.4534452853989027E-3</v>
      </c>
    </row>
    <row r="25" spans="2:7" s="27" customFormat="1" x14ac:dyDescent="0.2">
      <c r="B25" s="54"/>
      <c r="C25" s="64"/>
      <c r="D25" s="76"/>
      <c r="E25" s="76"/>
      <c r="F25" s="51"/>
    </row>
    <row r="26" spans="2:7" x14ac:dyDescent="0.2">
      <c r="B26" s="14" t="s">
        <v>22</v>
      </c>
      <c r="C26" s="65" t="s">
        <v>13</v>
      </c>
      <c r="D26" s="77">
        <f>(D$6-D$24)/D$6</f>
        <v>7.0769230769230834E-2</v>
      </c>
      <c r="E26" s="77">
        <f>(E$6-E$24)/E$6</f>
        <v>7.1428571428571508E-2</v>
      </c>
      <c r="F26" s="18">
        <f>E26-D26</f>
        <v>6.5934065934067365E-4</v>
      </c>
    </row>
    <row r="30" spans="2:7" x14ac:dyDescent="0.2">
      <c r="D30" s="56"/>
      <c r="E30" s="56"/>
    </row>
  </sheetData>
  <pageMargins left="0.70866141732283472" right="0.70866141732283472" top="0.74803149606299213" bottom="0.98425196850393704" header="0.31496062992125984" footer="0.31496062992125984"/>
  <pageSetup paperSize="9" scale="80" orientation="portrait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1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42" sqref="F42"/>
    </sheetView>
  </sheetViews>
  <sheetFormatPr defaultRowHeight="14.25" x14ac:dyDescent="0.2"/>
  <cols>
    <col min="1" max="1" width="4.7109375" style="1" customWidth="1"/>
    <col min="2" max="2" width="43.140625" style="1" bestFit="1" customWidth="1"/>
    <col min="3" max="3" width="11.140625" style="1" customWidth="1"/>
    <col min="4" max="6" width="17.85546875" style="1" customWidth="1"/>
    <col min="7" max="7" width="9.85546875" style="1" bestFit="1" customWidth="1"/>
    <col min="8" max="16384" width="9.140625" style="1"/>
  </cols>
  <sheetData>
    <row r="1" spans="2:7" s="40" customFormat="1" ht="24.75" customHeight="1" x14ac:dyDescent="0.25">
      <c r="B1" s="41" t="s">
        <v>45</v>
      </c>
    </row>
    <row r="2" spans="2:7" x14ac:dyDescent="0.2">
      <c r="B2" s="45"/>
      <c r="C2" s="39" t="s">
        <v>43</v>
      </c>
    </row>
    <row r="4" spans="2:7" s="2" customFormat="1" ht="39" customHeight="1" x14ac:dyDescent="0.25">
      <c r="B4" s="70" t="s">
        <v>23</v>
      </c>
      <c r="C4" s="71" t="s">
        <v>1</v>
      </c>
      <c r="D4" s="4" t="s">
        <v>2</v>
      </c>
      <c r="E4" s="4" t="s">
        <v>3</v>
      </c>
      <c r="F4" s="4" t="s">
        <v>4</v>
      </c>
    </row>
    <row r="5" spans="2:7" x14ac:dyDescent="0.2">
      <c r="B5" s="57"/>
      <c r="C5" s="62"/>
      <c r="D5" s="29"/>
      <c r="E5" s="48"/>
      <c r="F5" s="16"/>
    </row>
    <row r="6" spans="2:7" x14ac:dyDescent="0.2">
      <c r="B6" s="67" t="s">
        <v>24</v>
      </c>
      <c r="C6" s="68" t="s">
        <v>13</v>
      </c>
      <c r="D6" s="69">
        <f>$D$15/$D$8</f>
        <v>1.6666666666666666E-2</v>
      </c>
      <c r="E6" s="79">
        <v>0.1</v>
      </c>
      <c r="F6" s="49">
        <f>E6-D6</f>
        <v>8.3333333333333343E-2</v>
      </c>
    </row>
    <row r="7" spans="2:7" x14ac:dyDescent="0.2">
      <c r="B7" s="58"/>
      <c r="C7" s="63"/>
      <c r="D7" s="50"/>
      <c r="E7" s="50"/>
      <c r="F7" s="22"/>
    </row>
    <row r="8" spans="2:7" x14ac:dyDescent="0.2">
      <c r="B8" s="26" t="s">
        <v>5</v>
      </c>
      <c r="C8" s="64" t="s">
        <v>6</v>
      </c>
      <c r="D8" s="47">
        <v>300000</v>
      </c>
      <c r="E8" s="15">
        <f>$E$10+$E$11</f>
        <v>339837.3</v>
      </c>
      <c r="F8" s="51">
        <f>IFERROR((E8-D8)/D8,"")</f>
        <v>0.13279099999999996</v>
      </c>
    </row>
    <row r="9" spans="2:7" s="19" customFormat="1" x14ac:dyDescent="0.2">
      <c r="B9" s="59"/>
      <c r="C9" s="65"/>
      <c r="D9" s="15"/>
      <c r="E9" s="52"/>
      <c r="F9" s="51"/>
    </row>
    <row r="10" spans="2:7" x14ac:dyDescent="0.2">
      <c r="B10" s="26" t="s">
        <v>7</v>
      </c>
      <c r="C10" s="64" t="s">
        <v>6</v>
      </c>
      <c r="D10" s="47">
        <v>105000</v>
      </c>
      <c r="E10" s="47">
        <v>118943</v>
      </c>
      <c r="F10" s="51">
        <f>IFERROR((E10-D10)/D10,"")</f>
        <v>0.13279047619047618</v>
      </c>
    </row>
    <row r="11" spans="2:7" x14ac:dyDescent="0.2">
      <c r="B11" s="26" t="s">
        <v>25</v>
      </c>
      <c r="C11" s="64" t="s">
        <v>6</v>
      </c>
      <c r="D11" s="15">
        <f>D$8-D$10</f>
        <v>195000</v>
      </c>
      <c r="E11" s="15">
        <f>$E$13+$E$15</f>
        <v>220894.3</v>
      </c>
      <c r="F11" s="51">
        <f>IFERROR((E11-D11)/D11,"")</f>
        <v>0.13279128205128199</v>
      </c>
    </row>
    <row r="12" spans="2:7" x14ac:dyDescent="0.2">
      <c r="B12" s="26"/>
      <c r="C12" s="65"/>
      <c r="D12" s="51"/>
      <c r="E12" s="14"/>
      <c r="F12" s="51"/>
    </row>
    <row r="13" spans="2:7" x14ac:dyDescent="0.2">
      <c r="B13" s="26" t="s">
        <v>9</v>
      </c>
      <c r="C13" s="64" t="s">
        <v>6</v>
      </c>
      <c r="D13" s="47">
        <v>190000</v>
      </c>
      <c r="E13" s="47">
        <v>190000</v>
      </c>
      <c r="F13" s="51">
        <f>IFERROR((E13-D13)/D13,"")</f>
        <v>0</v>
      </c>
    </row>
    <row r="14" spans="2:7" x14ac:dyDescent="0.2">
      <c r="B14" s="26" t="s">
        <v>10</v>
      </c>
      <c r="C14" s="64" t="s">
        <v>6</v>
      </c>
      <c r="D14" s="47">
        <v>12000</v>
      </c>
      <c r="E14" s="47">
        <v>12000</v>
      </c>
      <c r="F14" s="51">
        <f>IFERROR((E14-D14)/D14,"")</f>
        <v>0</v>
      </c>
    </row>
    <row r="15" spans="2:7" x14ac:dyDescent="0.2">
      <c r="B15" s="26" t="s">
        <v>11</v>
      </c>
      <c r="C15" s="64" t="s">
        <v>6</v>
      </c>
      <c r="D15" s="15">
        <f>D$11-D$13</f>
        <v>5000</v>
      </c>
      <c r="E15" s="15">
        <f>($E$10+$E$13)*$E$6</f>
        <v>30894.300000000003</v>
      </c>
      <c r="F15" s="51">
        <f>IFERROR((E15-D15)/D15,"")</f>
        <v>5.1788600000000002</v>
      </c>
      <c r="G15" s="53"/>
    </row>
    <row r="16" spans="2:7" x14ac:dyDescent="0.2">
      <c r="B16" s="26"/>
      <c r="C16" s="64"/>
      <c r="D16" s="14"/>
      <c r="E16" s="14"/>
      <c r="F16" s="14"/>
    </row>
    <row r="17" spans="2:6" x14ac:dyDescent="0.2">
      <c r="B17" s="26"/>
      <c r="C17" s="64"/>
      <c r="D17" s="15"/>
      <c r="E17" s="14"/>
      <c r="F17" s="14"/>
    </row>
    <row r="18" spans="2:6" s="23" customFormat="1" x14ac:dyDescent="0.2">
      <c r="B18" s="60" t="s">
        <v>20</v>
      </c>
      <c r="C18" s="66" t="s">
        <v>6</v>
      </c>
      <c r="D18" s="25">
        <f>D$13/(1-D$10/D$8)</f>
        <v>292307.69230769231</v>
      </c>
      <c r="E18" s="25">
        <f>E$13/(1-E$10/E$8)</f>
        <v>292307.61952662433</v>
      </c>
      <c r="F18" s="18">
        <f t="shared" ref="F18:F19" si="0">(E18-D18)/D18</f>
        <v>-2.4898786414843542E-7</v>
      </c>
    </row>
    <row r="19" spans="2:6" ht="28.5" x14ac:dyDescent="0.2">
      <c r="B19" s="26" t="s">
        <v>21</v>
      </c>
      <c r="C19" s="64" t="s">
        <v>6</v>
      </c>
      <c r="D19" s="25">
        <f>(D$13-D$14)/(1-D$10/D$8)</f>
        <v>273846.15384615381</v>
      </c>
      <c r="E19" s="25">
        <f>(E$13-E$14)/(1-E$10/E$8)</f>
        <v>273846.08566178486</v>
      </c>
      <c r="F19" s="18">
        <f t="shared" si="0"/>
        <v>-2.4898786415291035E-7</v>
      </c>
    </row>
    <row r="20" spans="2:6" s="27" customFormat="1" ht="11.25" x14ac:dyDescent="0.15">
      <c r="B20" s="61"/>
      <c r="C20" s="64"/>
      <c r="D20" s="55"/>
      <c r="E20" s="55"/>
      <c r="F20" s="55"/>
    </row>
    <row r="21" spans="2:6" x14ac:dyDescent="0.2">
      <c r="B21" s="26" t="s">
        <v>22</v>
      </c>
      <c r="C21" s="65" t="s">
        <v>13</v>
      </c>
      <c r="D21" s="18">
        <f>(D$8-D$19)/D$8</f>
        <v>8.7179487179487286E-2</v>
      </c>
      <c r="E21" s="18">
        <f>(E$8-E$19)/E$8</f>
        <v>0.19418472998171515</v>
      </c>
      <c r="F21" s="51">
        <f>E21-D21</f>
        <v>0.10700524280222787</v>
      </c>
    </row>
  </sheetData>
  <pageMargins left="0.70866141732283472" right="0.70866141732283472" top="0.74803149606299213" bottom="0.98425196850393704" header="0.31496062992125984" footer="0.31496062992125984"/>
  <pageSetup paperSize="9" scale="77" orientation="portrait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ассортимент</vt:lpstr>
      <vt:lpstr>целевая чистая прибыль</vt:lpstr>
      <vt:lpstr>целевая рентабельность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В. Жильцова</dc:creator>
  <cp:lastModifiedBy>Наталья В. Жильцова</cp:lastModifiedBy>
  <cp:lastPrinted>2022-08-25T04:15:01Z</cp:lastPrinted>
  <dcterms:created xsi:type="dcterms:W3CDTF">2022-08-24T11:55:05Z</dcterms:created>
  <dcterms:modified xsi:type="dcterms:W3CDTF">2022-08-25T05:27:58Z</dcterms:modified>
</cp:coreProperties>
</file>