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Zhiltsova\методики\модели\факторный анализ\"/>
    </mc:Choice>
  </mc:AlternateContent>
  <bookViews>
    <workbookView xWindow="0" yWindow="0" windowWidth="23040" windowHeight="9195" tabRatio="694"/>
  </bookViews>
  <sheets>
    <sheet name="Факторный анализ_прибыль" sheetId="6" r:id="rId1"/>
    <sheet name="Факторный анализ_выручка" sheetId="7" r:id="rId2"/>
    <sheet name="Факторный анализ_себестоимость" sheetId="8" r:id="rId3"/>
  </sheets>
  <definedNames>
    <definedName name="_xlnm.Print_Area" localSheetId="1">'Факторный анализ_выручка'!$A$1:$R$45</definedName>
    <definedName name="_xlnm.Print_Area" localSheetId="0">'Факторный анализ_прибыль'!$A$1:$I$89</definedName>
    <definedName name="_xlnm.Print_Area" localSheetId="2">'Факторный анализ_себестоимость'!$A$1:$H$40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8" i="8" l="1"/>
  <c r="E38" i="7"/>
  <c r="D38" i="7"/>
  <c r="D19" i="8"/>
  <c r="D18" i="8"/>
  <c r="D17" i="8"/>
  <c r="G20" i="8" l="1"/>
  <c r="G19" i="8"/>
  <c r="G18" i="8"/>
  <c r="G17" i="8"/>
  <c r="G16" i="8"/>
  <c r="G13" i="8"/>
  <c r="G14" i="8"/>
  <c r="B6" i="8"/>
  <c r="G26" i="7"/>
  <c r="G36" i="7"/>
  <c r="G35" i="7"/>
  <c r="G34" i="7"/>
  <c r="G33" i="7"/>
  <c r="G32" i="7"/>
  <c r="G31" i="7"/>
  <c r="G30" i="7"/>
  <c r="G29" i="7"/>
  <c r="G28" i="7"/>
  <c r="G27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C19" i="7"/>
  <c r="B19" i="7"/>
  <c r="D26" i="7" s="1"/>
  <c r="C26" i="7" s="1"/>
  <c r="J26" i="7" s="1"/>
  <c r="C27" i="7"/>
  <c r="J27" i="7" s="1"/>
  <c r="C28" i="7"/>
  <c r="J28" i="7" s="1"/>
  <c r="I16" i="7"/>
  <c r="I15" i="7"/>
  <c r="I11" i="7"/>
  <c r="G21" i="6"/>
  <c r="G12" i="6"/>
  <c r="G20" i="6"/>
  <c r="G8" i="6" s="1"/>
  <c r="G19" i="6"/>
  <c r="G18" i="6" s="1"/>
  <c r="G17" i="6"/>
  <c r="H64" i="6"/>
  <c r="G64" i="6"/>
  <c r="F64" i="6"/>
  <c r="E64" i="6"/>
  <c r="H63" i="6"/>
  <c r="G63" i="6"/>
  <c r="F63" i="6"/>
  <c r="E63" i="6"/>
  <c r="H62" i="6"/>
  <c r="G62" i="6"/>
  <c r="F62" i="6"/>
  <c r="E62" i="6"/>
  <c r="H60" i="6"/>
  <c r="G60" i="6"/>
  <c r="F60" i="6"/>
  <c r="E60" i="6"/>
  <c r="H57" i="6"/>
  <c r="H56" i="6"/>
  <c r="H55" i="6"/>
  <c r="H53" i="6"/>
  <c r="G57" i="6"/>
  <c r="G56" i="6"/>
  <c r="G55" i="6"/>
  <c r="G53" i="6"/>
  <c r="F57" i="6"/>
  <c r="F56" i="6"/>
  <c r="F55" i="6"/>
  <c r="F53" i="6"/>
  <c r="E57" i="6"/>
  <c r="E56" i="6"/>
  <c r="E55" i="6"/>
  <c r="E53" i="6"/>
  <c r="C14" i="8"/>
  <c r="C15" i="8"/>
  <c r="B16" i="8"/>
  <c r="B15" i="8"/>
  <c r="B14" i="8"/>
  <c r="B13" i="8"/>
  <c r="C11" i="8"/>
  <c r="F11" i="8" s="1"/>
  <c r="B11" i="8"/>
  <c r="E11" i="8" s="1"/>
  <c r="D35" i="6"/>
  <c r="C35" i="6" s="1"/>
  <c r="C57" i="6" s="1"/>
  <c r="D34" i="6"/>
  <c r="H33" i="6"/>
  <c r="H36" i="6" s="1"/>
  <c r="H37" i="6" s="1"/>
  <c r="G33" i="6"/>
  <c r="G36" i="6" s="1"/>
  <c r="G37" i="6" s="1"/>
  <c r="F33" i="6"/>
  <c r="F36" i="6" s="1"/>
  <c r="F37" i="6" s="1"/>
  <c r="E33" i="6"/>
  <c r="E36" i="6" s="1"/>
  <c r="E37" i="6" s="1"/>
  <c r="D32" i="6"/>
  <c r="D31" i="6"/>
  <c r="D43" i="6"/>
  <c r="D64" i="6" s="1"/>
  <c r="D42" i="6"/>
  <c r="C42" i="6" s="1"/>
  <c r="H41" i="6"/>
  <c r="H44" i="6" s="1"/>
  <c r="H45" i="6" s="1"/>
  <c r="G41" i="6"/>
  <c r="G44" i="6" s="1"/>
  <c r="G45" i="6" s="1"/>
  <c r="F41" i="6"/>
  <c r="F44" i="6" s="1"/>
  <c r="E41" i="6"/>
  <c r="D40" i="6"/>
  <c r="C40" i="6" s="1"/>
  <c r="F8" i="8" s="1"/>
  <c r="D39" i="6"/>
  <c r="C39" i="6" s="1"/>
  <c r="F9" i="6"/>
  <c r="H10" i="6"/>
  <c r="H13" i="6" s="1"/>
  <c r="H14" i="6" s="1"/>
  <c r="F11" i="6"/>
  <c r="F10" i="6" s="1"/>
  <c r="D11" i="6"/>
  <c r="D10" i="6" s="1"/>
  <c r="D13" i="6" s="1"/>
  <c r="D14" i="6" s="1"/>
  <c r="E11" i="6"/>
  <c r="E10" i="6" s="1"/>
  <c r="E13" i="6" s="1"/>
  <c r="E14" i="6" s="1"/>
  <c r="H17" i="6"/>
  <c r="H18" i="6"/>
  <c r="D20" i="8"/>
  <c r="G15" i="8"/>
  <c r="F12" i="8"/>
  <c r="B37" i="7"/>
  <c r="R36" i="7"/>
  <c r="M36" i="7"/>
  <c r="K36" i="7"/>
  <c r="J36" i="7"/>
  <c r="H36" i="7"/>
  <c r="R35" i="7"/>
  <c r="M35" i="7"/>
  <c r="K35" i="7"/>
  <c r="J35" i="7"/>
  <c r="H35" i="7"/>
  <c r="R34" i="7"/>
  <c r="M34" i="7"/>
  <c r="K34" i="7"/>
  <c r="J34" i="7"/>
  <c r="H34" i="7"/>
  <c r="R33" i="7"/>
  <c r="M33" i="7"/>
  <c r="K33" i="7"/>
  <c r="J33" i="7"/>
  <c r="H33" i="7"/>
  <c r="R32" i="7"/>
  <c r="M32" i="7"/>
  <c r="K32" i="7"/>
  <c r="J32" i="7"/>
  <c r="H32" i="7"/>
  <c r="R31" i="7"/>
  <c r="M31" i="7"/>
  <c r="K31" i="7"/>
  <c r="J31" i="7"/>
  <c r="H31" i="7"/>
  <c r="R30" i="7"/>
  <c r="M30" i="7"/>
  <c r="K30" i="7"/>
  <c r="J30" i="7"/>
  <c r="H30" i="7"/>
  <c r="J29" i="7"/>
  <c r="H29" i="7"/>
  <c r="M28" i="7"/>
  <c r="K28" i="7"/>
  <c r="H28" i="7"/>
  <c r="M27" i="7"/>
  <c r="K27" i="7"/>
  <c r="H27" i="7"/>
  <c r="M26" i="7"/>
  <c r="H26" i="7"/>
  <c r="I18" i="7"/>
  <c r="H18" i="7"/>
  <c r="I17" i="7"/>
  <c r="H17" i="7"/>
  <c r="H16" i="7"/>
  <c r="H15" i="7"/>
  <c r="I14" i="7"/>
  <c r="H14" i="7"/>
  <c r="I13" i="7"/>
  <c r="H13" i="7"/>
  <c r="I12" i="7"/>
  <c r="H12" i="7"/>
  <c r="H11" i="7"/>
  <c r="I10" i="7"/>
  <c r="H10" i="7"/>
  <c r="I9" i="7"/>
  <c r="H9" i="7"/>
  <c r="I8" i="7"/>
  <c r="H8" i="7"/>
  <c r="H7" i="7"/>
  <c r="I6" i="7"/>
  <c r="H6" i="7"/>
  <c r="G9" i="6" l="1"/>
  <c r="E22" i="7"/>
  <c r="D18" i="7" s="1"/>
  <c r="C20" i="7"/>
  <c r="C53" i="6"/>
  <c r="C31" i="6"/>
  <c r="C38" i="7" s="1"/>
  <c r="E21" i="8"/>
  <c r="B26" i="8"/>
  <c r="E12" i="8"/>
  <c r="B25" i="8"/>
  <c r="C25" i="8"/>
  <c r="G12" i="8"/>
  <c r="H37" i="7"/>
  <c r="I35" i="7" s="1"/>
  <c r="H19" i="7"/>
  <c r="K26" i="7"/>
  <c r="D29" i="7"/>
  <c r="D37" i="7" s="1"/>
  <c r="J18" i="7"/>
  <c r="C13" i="8"/>
  <c r="J14" i="7"/>
  <c r="L15" i="7"/>
  <c r="J11" i="7"/>
  <c r="L11" i="7"/>
  <c r="J15" i="7"/>
  <c r="I19" i="7"/>
  <c r="E29" i="7"/>
  <c r="E37" i="7" s="1"/>
  <c r="I7" i="7"/>
  <c r="K7" i="7" s="1"/>
  <c r="L9" i="7"/>
  <c r="J10" i="7"/>
  <c r="N16" i="7"/>
  <c r="N15" i="7"/>
  <c r="N18" i="7"/>
  <c r="M16" i="7"/>
  <c r="K17" i="7"/>
  <c r="N11" i="7"/>
  <c r="M12" i="7"/>
  <c r="L17" i="7"/>
  <c r="L16" i="7"/>
  <c r="M15" i="7"/>
  <c r="M14" i="7"/>
  <c r="N14" i="7"/>
  <c r="M13" i="7"/>
  <c r="L13" i="7"/>
  <c r="N12" i="7"/>
  <c r="L12" i="7"/>
  <c r="M11" i="7"/>
  <c r="M10" i="7"/>
  <c r="N10" i="7"/>
  <c r="N8" i="7"/>
  <c r="N7" i="7"/>
  <c r="L7" i="7"/>
  <c r="G11" i="6"/>
  <c r="G10" i="6" s="1"/>
  <c r="G76" i="6"/>
  <c r="E75" i="6"/>
  <c r="F75" i="6"/>
  <c r="G74" i="6"/>
  <c r="G75" i="6"/>
  <c r="H74" i="6"/>
  <c r="H75" i="6"/>
  <c r="H76" i="6"/>
  <c r="E74" i="6"/>
  <c r="E76" i="6"/>
  <c r="F74" i="6"/>
  <c r="F76" i="6"/>
  <c r="G61" i="6"/>
  <c r="D62" i="6"/>
  <c r="E61" i="6"/>
  <c r="D15" i="8"/>
  <c r="F59" i="6"/>
  <c r="H61" i="6"/>
  <c r="D63" i="6"/>
  <c r="H59" i="6"/>
  <c r="F61" i="6"/>
  <c r="D60" i="6"/>
  <c r="G59" i="6"/>
  <c r="E54" i="6"/>
  <c r="E72" i="6" s="1"/>
  <c r="F54" i="6"/>
  <c r="F72" i="6" s="1"/>
  <c r="D53" i="6"/>
  <c r="E52" i="6"/>
  <c r="D55" i="6"/>
  <c r="H54" i="6"/>
  <c r="H72" i="6" s="1"/>
  <c r="D56" i="6"/>
  <c r="G52" i="6"/>
  <c r="F52" i="6"/>
  <c r="D57" i="6"/>
  <c r="D76" i="6" s="1"/>
  <c r="G54" i="6"/>
  <c r="G72" i="6" s="1"/>
  <c r="H52" i="6"/>
  <c r="C32" i="6"/>
  <c r="D14" i="8"/>
  <c r="B12" i="8"/>
  <c r="C37" i="7"/>
  <c r="E44" i="6"/>
  <c r="D33" i="6"/>
  <c r="D41" i="6"/>
  <c r="F45" i="6"/>
  <c r="F13" i="6"/>
  <c r="F14" i="6" s="1"/>
  <c r="C34" i="6"/>
  <c r="C56" i="6" s="1"/>
  <c r="C43" i="6"/>
  <c r="I32" i="7"/>
  <c r="K10" i="7"/>
  <c r="K18" i="7"/>
  <c r="J37" i="7"/>
  <c r="L14" i="7"/>
  <c r="M17" i="7"/>
  <c r="N28" i="7"/>
  <c r="J9" i="7"/>
  <c r="N9" i="7"/>
  <c r="K12" i="7"/>
  <c r="J13" i="7"/>
  <c r="N13" i="7"/>
  <c r="K16" i="7"/>
  <c r="J17" i="7"/>
  <c r="N17" i="7"/>
  <c r="M18" i="7"/>
  <c r="N27" i="7"/>
  <c r="K14" i="7"/>
  <c r="M9" i="7"/>
  <c r="L10" i="7"/>
  <c r="K11" i="7"/>
  <c r="J12" i="7"/>
  <c r="K15" i="7"/>
  <c r="J16" i="7"/>
  <c r="L18" i="7"/>
  <c r="K9" i="7"/>
  <c r="K13" i="7"/>
  <c r="N26" i="7"/>
  <c r="C64" i="6" l="1"/>
  <c r="C76" i="6" s="1"/>
  <c r="C6" i="8"/>
  <c r="D6" i="8" s="1"/>
  <c r="C22" i="7"/>
  <c r="C39" i="7" s="1"/>
  <c r="C55" i="6"/>
  <c r="C54" i="6" s="1"/>
  <c r="E8" i="8"/>
  <c r="I31" i="7"/>
  <c r="I29" i="7"/>
  <c r="I27" i="7"/>
  <c r="I33" i="7"/>
  <c r="I26" i="7"/>
  <c r="I34" i="7"/>
  <c r="I28" i="7"/>
  <c r="I30" i="7"/>
  <c r="I36" i="7"/>
  <c r="D13" i="8"/>
  <c r="C16" i="8"/>
  <c r="D16" i="8" s="1"/>
  <c r="K29" i="7"/>
  <c r="K37" i="7" s="1"/>
  <c r="O15" i="7"/>
  <c r="M29" i="7"/>
  <c r="M37" i="7" s="1"/>
  <c r="K8" i="7"/>
  <c r="M8" i="7"/>
  <c r="O11" i="7"/>
  <c r="J8" i="7"/>
  <c r="M7" i="7"/>
  <c r="L8" i="7"/>
  <c r="L19" i="7" s="1"/>
  <c r="J7" i="7"/>
  <c r="O7" i="7" s="1"/>
  <c r="O16" i="7"/>
  <c r="O18" i="7"/>
  <c r="O17" i="7"/>
  <c r="O14" i="7"/>
  <c r="O9" i="7"/>
  <c r="D75" i="6"/>
  <c r="H73" i="6"/>
  <c r="E73" i="6"/>
  <c r="F73" i="6"/>
  <c r="D74" i="6"/>
  <c r="H71" i="6"/>
  <c r="G73" i="6"/>
  <c r="F71" i="6"/>
  <c r="G71" i="6"/>
  <c r="D61" i="6"/>
  <c r="E59" i="6"/>
  <c r="E71" i="6" s="1"/>
  <c r="C62" i="6"/>
  <c r="C60" i="6"/>
  <c r="C63" i="6"/>
  <c r="E45" i="6"/>
  <c r="D54" i="6"/>
  <c r="D72" i="6" s="1"/>
  <c r="D36" i="6"/>
  <c r="D52" i="6" s="1"/>
  <c r="D44" i="6"/>
  <c r="C33" i="6"/>
  <c r="C41" i="6"/>
  <c r="G13" i="6"/>
  <c r="G14" i="6" s="1"/>
  <c r="O13" i="7"/>
  <c r="O10" i="7"/>
  <c r="O12" i="7"/>
  <c r="D12" i="8" l="1"/>
  <c r="F21" i="8"/>
  <c r="C26" i="8"/>
  <c r="D26" i="8" s="1"/>
  <c r="B30" i="8"/>
  <c r="I37" i="7"/>
  <c r="O8" i="7"/>
  <c r="K19" i="7"/>
  <c r="J19" i="7"/>
  <c r="P27" i="7"/>
  <c r="L35" i="7"/>
  <c r="L32" i="7"/>
  <c r="P28" i="7"/>
  <c r="L27" i="7"/>
  <c r="O27" i="7" s="1"/>
  <c r="L36" i="7"/>
  <c r="L26" i="7"/>
  <c r="O26" i="7" s="1"/>
  <c r="P26" i="7"/>
  <c r="L34" i="7"/>
  <c r="L31" i="7"/>
  <c r="L33" i="7"/>
  <c r="L29" i="7"/>
  <c r="Q29" i="7" s="1"/>
  <c r="L28" i="7"/>
  <c r="Q28" i="7" s="1"/>
  <c r="L30" i="7"/>
  <c r="P29" i="7"/>
  <c r="B31" i="8"/>
  <c r="C12" i="8"/>
  <c r="N29" i="7"/>
  <c r="N37" i="7" s="1"/>
  <c r="C75" i="6"/>
  <c r="D73" i="6"/>
  <c r="C74" i="6"/>
  <c r="C72" i="6"/>
  <c r="D59" i="6"/>
  <c r="D71" i="6" s="1"/>
  <c r="C61" i="6"/>
  <c r="D45" i="6"/>
  <c r="C44" i="6"/>
  <c r="D37" i="6"/>
  <c r="C36" i="6"/>
  <c r="C52" i="6" s="1"/>
  <c r="B29" i="8" l="1"/>
  <c r="C32" i="8" s="1"/>
  <c r="O19" i="7"/>
  <c r="Q27" i="7"/>
  <c r="R27" i="7" s="1"/>
  <c r="Q26" i="7"/>
  <c r="R26" i="7" s="1"/>
  <c r="P37" i="7"/>
  <c r="Q37" i="7"/>
  <c r="O28" i="7"/>
  <c r="R28" i="7" s="1"/>
  <c r="O29" i="7"/>
  <c r="R29" i="7" s="1"/>
  <c r="L37" i="7"/>
  <c r="C73" i="6"/>
  <c r="C45" i="6"/>
  <c r="C59" i="6"/>
  <c r="C71" i="6" s="1"/>
  <c r="C37" i="6"/>
  <c r="R37" i="7" l="1"/>
  <c r="O37" i="7"/>
</calcChain>
</file>

<file path=xl/sharedStrings.xml><?xml version="1.0" encoding="utf-8"?>
<sst xmlns="http://schemas.openxmlformats.org/spreadsheetml/2006/main" count="221" uniqueCount="121">
  <si>
    <t>Объем продаж</t>
  </si>
  <si>
    <t>Себестоимость реализованной продукции</t>
  </si>
  <si>
    <t>Накладные расходы до EBITDA</t>
  </si>
  <si>
    <t>EBITDA</t>
  </si>
  <si>
    <t>текущий год</t>
  </si>
  <si>
    <t>6 мес</t>
  </si>
  <si>
    <t>12 мес</t>
  </si>
  <si>
    <t>предыдущий год</t>
  </si>
  <si>
    <t>факт</t>
  </si>
  <si>
    <t>план</t>
  </si>
  <si>
    <t>Вспомогательные показатели</t>
  </si>
  <si>
    <t>Прирост продаж</t>
  </si>
  <si>
    <t>Средний за 3 года к-т сезонности роста по 6 месяцам</t>
  </si>
  <si>
    <t>Итого компания</t>
  </si>
  <si>
    <t>Москва</t>
  </si>
  <si>
    <t>b2b</t>
  </si>
  <si>
    <t>b2c</t>
  </si>
  <si>
    <t>СПб</t>
  </si>
  <si>
    <t>Регионы</t>
  </si>
  <si>
    <t>постоянные</t>
  </si>
  <si>
    <t>Постоянные расходы</t>
  </si>
  <si>
    <t>отклонение</t>
  </si>
  <si>
    <t>Объем продаж, без НДС</t>
  </si>
  <si>
    <t>ФАКТ</t>
  </si>
  <si>
    <t>ПЛАН</t>
  </si>
  <si>
    <t>Исходные данные в аналитических разрезах</t>
  </si>
  <si>
    <t>Факторный анализ выполнения плана по EBITDA</t>
  </si>
  <si>
    <t>фактор</t>
  </si>
  <si>
    <t>Позитивные зоны:</t>
  </si>
  <si>
    <t>Негативные зоны:</t>
  </si>
  <si>
    <t>Зона ответственности</t>
  </si>
  <si>
    <t>Директор по региональным продажам</t>
  </si>
  <si>
    <t>Функциональные директора</t>
  </si>
  <si>
    <t>Рентабельность продаж по EBITDA</t>
  </si>
  <si>
    <t>Показатель</t>
  </si>
  <si>
    <t>(руб.)</t>
  </si>
  <si>
    <t>всего</t>
  </si>
  <si>
    <t>(тыс. руб.)</t>
  </si>
  <si>
    <t>в том числе: переменные</t>
  </si>
  <si>
    <t>в том числе:</t>
  </si>
  <si>
    <t>Превышение по переменным расходам (-254 тыс. руб.)</t>
  </si>
  <si>
    <t>Также существенный негативный вклад вносит отклонение от плана по постоянным расходам в Москве (-314 тыс. руб.)</t>
  </si>
  <si>
    <t>План не выполняется как по продажам (-849 тыс. руб.), так и по маржинальному доходу (-328 тыс. руб.)</t>
  </si>
  <si>
    <t>Выводы:</t>
  </si>
  <si>
    <t>(отношение прироста за 6 мес к приросту за 12 мес)</t>
  </si>
  <si>
    <t>Директор региона СПб</t>
  </si>
  <si>
    <t>Основной отрицательный вклад вносит экономика регионов (-1280 тыс. руб.).</t>
  </si>
  <si>
    <t>В целом по компании наблюдается незначительное перевыполнение плана по прибыли, но оно складывается из существенных разнонаправленных отклонений. Москва и Регионы суммарно не выполняют план на 1534 тыс. руб; СПб – перевыполняет на 1713 тыс. руб.</t>
  </si>
  <si>
    <t>Рентабельность по валовой прибыли</t>
  </si>
  <si>
    <t>Уровень переменных расходов в выручке</t>
  </si>
  <si>
    <t>Индексация постоянных расходов</t>
  </si>
  <si>
    <t>уровень переменных расходов в выручке</t>
  </si>
  <si>
    <t>Маржинальная рентабельность</t>
  </si>
  <si>
    <t>Отношение маржинальной рентабельности за 6 мес к 12 мес</t>
  </si>
  <si>
    <t>в том числе: маржинальная рентабельность</t>
  </si>
  <si>
    <t>уровень переменных расходов</t>
  </si>
  <si>
    <t>маржинальная рентабельность</t>
  </si>
  <si>
    <t>Валовая прибыль, в т. ч.</t>
  </si>
  <si>
    <t>- ячейки для ввода данных</t>
  </si>
  <si>
    <t>Фактические продажи компании</t>
  </si>
  <si>
    <t>Период</t>
  </si>
  <si>
    <t>Объем продаж, нат. ед.</t>
  </si>
  <si>
    <t>Выручка, руб.</t>
  </si>
  <si>
    <t>Изменение выручки, руб.</t>
  </si>
  <si>
    <t>Изменение цены за период, %</t>
  </si>
  <si>
    <t>Изменение объема продаж за период, %</t>
  </si>
  <si>
    <t>Проверка</t>
  </si>
  <si>
    <t>Всего</t>
  </si>
  <si>
    <t>Ценовой фактор</t>
  </si>
  <si>
    <t>Фактор объема продаж</t>
  </si>
  <si>
    <t>дек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</si>
  <si>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</si>
  <si>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</si>
  <si>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</si>
  <si>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</si>
  <si>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</si>
  <si>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</si>
  <si>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</si>
  <si>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</si>
  <si>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</si>
  <si>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</si>
  <si>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</si>
  <si>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Продажи компании в детализации по продуктам</t>
  </si>
  <si>
    <t>Номенклатура</t>
  </si>
  <si>
    <t>План</t>
  </si>
  <si>
    <t>Факт</t>
  </si>
  <si>
    <t xml:space="preserve">Изменение выручки, руб. </t>
  </si>
  <si>
    <t>Стуктура продаж</t>
  </si>
  <si>
    <t>Фактор структуры продаж</t>
  </si>
  <si>
    <t>продукт А</t>
  </si>
  <si>
    <t>продукт Б</t>
  </si>
  <si>
    <t>продукт В</t>
  </si>
  <si>
    <t>продукт Г</t>
  </si>
  <si>
    <t>ИТОГО</t>
  </si>
  <si>
    <t>Значение</t>
  </si>
  <si>
    <t>Изменение</t>
  </si>
  <si>
    <t>Общая себестоимость выпущенной продукции</t>
  </si>
  <si>
    <t>Влияние факторов:</t>
  </si>
  <si>
    <t>объема</t>
  </si>
  <si>
    <t>структуры выпуска</t>
  </si>
  <si>
    <t>переменных затрат</t>
  </si>
  <si>
    <t>постоянных затрат</t>
  </si>
  <si>
    <t>Постоянные затраты</t>
  </si>
  <si>
    <t>Вид продукции</t>
  </si>
  <si>
    <t>Объем производства, ед.</t>
  </si>
  <si>
    <t>Переменные затраты, руб./ед.</t>
  </si>
  <si>
    <t>…</t>
  </si>
  <si>
    <t>Период:</t>
  </si>
  <si>
    <t>1 полугодие</t>
  </si>
  <si>
    <t>Группировка данных под формат факторного анализа</t>
  </si>
  <si>
    <t>расчет по факту прошлого периода</t>
  </si>
  <si>
    <t>Расчет базиса</t>
  </si>
  <si>
    <t>Факторный анализ выполнения плана по выручке</t>
  </si>
  <si>
    <t>Факторный анализ выполнения по выручке в течение года</t>
  </si>
  <si>
    <t>Факторный анализ выполнения плана по себестоимости</t>
  </si>
  <si>
    <t>Постоянные затраты на весь объем выпуска, руб.</t>
  </si>
  <si>
    <t>В составе реализованной продукции увеличился удельный вес продукции с большим уровнем доходности.</t>
  </si>
  <si>
    <t>За счет роста постоянных и переменных затрат себестоимость увеличилась. Значительный рост себестоимости продукции произошел в основном за счет повышения цен на сырье и материалы.</t>
  </si>
  <si>
    <t>Снижение объема и изменение структуры продаж компенсировали рост цен на закупаемые материалы.</t>
  </si>
  <si>
    <t>В целом, себестоимость реализованной продукции снизилась, следовательно, прибыль от продажи продукции увеличилась на ту же сумму.</t>
  </si>
  <si>
    <t>Перевыполнение плана по EBITDA по СПб связано одновременно с перевыполнением по стоимости объема продаж (вклад +789 тыс. руб.) и маржинальному доходу (+704 тыс. руб.).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</si>
</sst>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₽_-;\-* #,##0.00\ _₽_-;_-* &quot;-&quot;??\ _₽_-;_-@_-"/>
    <numFmt numFmtId="165" formatCode="0.0%"/>
    <numFmt numFmtId="166" formatCode="_-* #,##0\ _₽_-;\-* #,##0\ _₽_-;_-* &quot;-&quot;??\ _₽_-;_-@_-"/>
    <numFmt numFmtId="167" formatCode="#,##0_ ;\-#,##0\ "/>
    <numFmt numFmtId="168" formatCode="_-* #,##0.00&quot;р.&quot;_-;\-* #,##0.00&quot;р.&quot;_-;_-* &quot;-&quot;??&quot;р.&quot;_-;_-@_-"/>
    <numFmt numFmtId="169" formatCode="_-* #,##0&quot;р.&quot;_-;\-* #,##0&quot;р.&quot;_-;_-* &quot;-&quot;??&quot;р.&quot;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0"/>
      <name val="Verdana"/>
      <family val="2"/>
      <charset val="204"/>
    </font>
    <font>
      <i/>
      <sz val="10"/>
      <color rgb="FF002060"/>
      <name val="Verdana"/>
      <family val="2"/>
      <charset val="204"/>
    </font>
    <font>
      <i/>
      <sz val="10"/>
      <color theme="9" tint="-0.499984740745262"/>
      <name val="Verdana"/>
      <family val="2"/>
      <charset val="204"/>
    </font>
    <font>
      <i/>
      <sz val="10"/>
      <color rgb="FF7030A0"/>
      <name val="Verdana"/>
      <family val="2"/>
      <charset val="204"/>
    </font>
    <font>
      <sz val="10"/>
      <color theme="1"/>
      <name val="Verdana"/>
      <family val="2"/>
      <charset val="204"/>
    </font>
    <font>
      <sz val="10"/>
      <color theme="0" tint="-0.249977111117893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000099"/>
      <name val="Verdana"/>
      <family val="2"/>
      <charset val="204"/>
    </font>
    <font>
      <sz val="10"/>
      <color theme="0" tint="-0.34998626667073579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color rgb="FF002060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color rgb="FF002060"/>
      <name val="Verdana"/>
      <family val="2"/>
      <charset val="204"/>
    </font>
    <font>
      <b/>
      <i/>
      <sz val="10"/>
      <color rgb="FF002060"/>
      <name val="Verdana"/>
      <family val="2"/>
      <charset val="204"/>
    </font>
    <font>
      <b/>
      <sz val="10"/>
      <color theme="9" tint="-0.499984740745262"/>
      <name val="Verdana"/>
      <family val="2"/>
      <charset val="204"/>
    </font>
    <font>
      <sz val="10"/>
      <color theme="9" tint="-0.499984740745262"/>
      <name val="Verdana"/>
      <family val="2"/>
      <charset val="204"/>
    </font>
    <font>
      <b/>
      <i/>
      <sz val="10"/>
      <color theme="9" tint="-0.499984740745262"/>
      <name val="Verdana"/>
      <family val="2"/>
      <charset val="204"/>
    </font>
    <font>
      <sz val="10"/>
      <color rgb="FF00B050"/>
      <name val="Verdana"/>
      <family val="2"/>
      <charset val="204"/>
    </font>
    <font>
      <sz val="10"/>
      <color rgb="FF7030A0"/>
      <name val="Verdana"/>
      <family val="2"/>
      <charset val="204"/>
    </font>
    <font>
      <b/>
      <sz val="10"/>
      <color rgb="FF7030A0"/>
      <name val="Verdana"/>
      <family val="2"/>
      <charset val="204"/>
    </font>
    <font>
      <sz val="10"/>
      <color rgb="FF0070C0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i/>
      <sz val="10"/>
      <color rgb="FF7030A0"/>
      <name val="Verdana"/>
      <family val="2"/>
      <charset val="204"/>
    </font>
    <font>
      <b/>
      <i/>
      <sz val="10"/>
      <color rgb="FFFF0000"/>
      <name val="Verdana"/>
      <family val="2"/>
      <charset val="204"/>
    </font>
    <font>
      <sz val="10"/>
      <color rgb="FFFFFFFF"/>
      <name val="Verdana"/>
      <family val="2"/>
      <charset val="204"/>
    </font>
    <font>
      <sz val="7"/>
      <color rgb="FFFFFFFF"/>
      <name val="Verdana"/>
      <family val="2"/>
      <charset val="204"/>
    </font>
    <font>
      <sz val="8"/>
      <color rgb="FFFFFFFF"/>
      <name val="Verdana"/>
      <family val="2"/>
      <charset val="204"/>
    </font>
    <font>
      <sz val="7"/>
      <color rgb="FF7030A0"/>
      <name val="Verdana"/>
      <family val="2"/>
      <charset val="204"/>
    </font>
    <font>
      <i/>
      <sz val="7"/>
      <color rgb="FF7030A0"/>
      <name val="Verdana"/>
      <family val="2"/>
      <charset val="204"/>
    </font>
    <font>
      <sz val="10"/>
      <color rgb="FFFF0000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2" fillId="3" borderId="0" xfId="0" applyFont="1" applyFill="1"/>
    <xf numFmtId="0" fontId="6" fillId="5" borderId="0" xfId="0" applyFont="1" applyFill="1"/>
    <xf numFmtId="49" fontId="6" fillId="0" borderId="0" xfId="0" applyNumberFormat="1" applyFont="1" applyFill="1"/>
    <xf numFmtId="0" fontId="6" fillId="0" borderId="0" xfId="0" applyFont="1" applyFill="1"/>
    <xf numFmtId="0" fontId="7" fillId="0" borderId="0" xfId="0" applyFont="1" applyFill="1"/>
    <xf numFmtId="0" fontId="6" fillId="0" borderId="0" xfId="0" applyFo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/>
    </xf>
    <xf numFmtId="0" fontId="8" fillId="0" borderId="0" xfId="0" applyFont="1" applyFill="1"/>
    <xf numFmtId="1" fontId="6" fillId="0" borderId="0" xfId="0" applyNumberFormat="1" applyFont="1" applyFill="1"/>
    <xf numFmtId="0" fontId="6" fillId="0" borderId="0" xfId="0" applyFont="1" applyAlignment="1">
      <alignment vertical="center"/>
    </xf>
    <xf numFmtId="4" fontId="6" fillId="0" borderId="0" xfId="0" applyNumberFormat="1" applyFont="1" applyFill="1"/>
    <xf numFmtId="169" fontId="7" fillId="0" borderId="0" xfId="0" applyNumberFormat="1" applyFont="1" applyFill="1"/>
    <xf numFmtId="0" fontId="6" fillId="3" borderId="0" xfId="0" applyFont="1" applyFill="1" applyAlignment="1">
      <alignment vertical="top"/>
    </xf>
    <xf numFmtId="1" fontId="7" fillId="0" borderId="0" xfId="0" applyNumberFormat="1" applyFont="1" applyFill="1" applyAlignment="1">
      <alignment horizontal="center" vertical="center"/>
    </xf>
    <xf numFmtId="0" fontId="6" fillId="3" borderId="0" xfId="0" applyFont="1" applyFill="1"/>
    <xf numFmtId="9" fontId="6" fillId="3" borderId="0" xfId="0" applyNumberFormat="1" applyFont="1" applyFill="1"/>
    <xf numFmtId="0" fontId="13" fillId="3" borderId="0" xfId="0" applyFont="1" applyFill="1"/>
    <xf numFmtId="0" fontId="15" fillId="3" borderId="0" xfId="0" applyFont="1" applyFill="1"/>
    <xf numFmtId="0" fontId="15" fillId="3" borderId="0" xfId="0" applyFont="1" applyFill="1" applyAlignment="1">
      <alignment horizontal="justify" vertical="center"/>
    </xf>
    <xf numFmtId="0" fontId="12" fillId="4" borderId="0" xfId="0" applyFont="1" applyFill="1"/>
    <xf numFmtId="0" fontId="12" fillId="4" borderId="0" xfId="0" applyFont="1" applyFill="1" applyAlignment="1">
      <alignment horizontal="center"/>
    </xf>
    <xf numFmtId="0" fontId="12" fillId="4" borderId="2" xfId="0" applyFont="1" applyFill="1" applyBorder="1"/>
    <xf numFmtId="0" fontId="12" fillId="4" borderId="4" xfId="0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justify" vertical="center"/>
    </xf>
    <xf numFmtId="3" fontId="12" fillId="3" borderId="0" xfId="1" applyNumberFormat="1" applyFont="1" applyFill="1" applyAlignment="1">
      <alignment horizontal="right" vertical="center"/>
    </xf>
    <xf numFmtId="3" fontId="12" fillId="3" borderId="2" xfId="1" applyNumberFormat="1" applyFont="1" applyFill="1" applyBorder="1" applyAlignment="1">
      <alignment horizontal="right" vertical="center"/>
    </xf>
    <xf numFmtId="166" fontId="6" fillId="0" borderId="0" xfId="0" applyNumberFormat="1" applyFont="1"/>
    <xf numFmtId="3" fontId="15" fillId="3" borderId="0" xfId="1" applyNumberFormat="1" applyFont="1" applyFill="1" applyAlignment="1">
      <alignment horizontal="right" vertical="center"/>
    </xf>
    <xf numFmtId="3" fontId="12" fillId="3" borderId="4" xfId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 indent="3"/>
    </xf>
    <xf numFmtId="3" fontId="16" fillId="3" borderId="0" xfId="1" applyNumberFormat="1" applyFont="1" applyFill="1" applyAlignment="1">
      <alignment horizontal="right" vertical="center"/>
    </xf>
    <xf numFmtId="3" fontId="16" fillId="3" borderId="2" xfId="1" applyNumberFormat="1" applyFont="1" applyFill="1" applyBorder="1" applyAlignment="1">
      <alignment horizontal="right" vertical="center"/>
    </xf>
    <xf numFmtId="165" fontId="12" fillId="3" borderId="0" xfId="2" applyNumberFormat="1" applyFont="1" applyFill="1"/>
    <xf numFmtId="165" fontId="12" fillId="3" borderId="2" xfId="2" applyNumberFormat="1" applyFont="1" applyFill="1" applyBorder="1"/>
    <xf numFmtId="165" fontId="12" fillId="3" borderId="4" xfId="2" applyNumberFormat="1" applyFont="1" applyFill="1" applyBorder="1"/>
    <xf numFmtId="10" fontId="12" fillId="3" borderId="0" xfId="2" applyNumberFormat="1" applyFont="1" applyFill="1"/>
    <xf numFmtId="0" fontId="17" fillId="2" borderId="0" xfId="0" applyFont="1" applyFill="1"/>
    <xf numFmtId="0" fontId="17" fillId="2" borderId="0" xfId="0" applyFont="1" applyFill="1" applyAlignment="1">
      <alignment horizontal="center"/>
    </xf>
    <xf numFmtId="0" fontId="17" fillId="2" borderId="2" xfId="0" applyFont="1" applyFill="1" applyBorder="1"/>
    <xf numFmtId="0" fontId="18" fillId="2" borderId="0" xfId="0" applyFont="1" applyFill="1"/>
    <xf numFmtId="0" fontId="17" fillId="2" borderId="4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justify" vertical="center"/>
    </xf>
    <xf numFmtId="0" fontId="18" fillId="3" borderId="0" xfId="0" applyFont="1" applyFill="1"/>
    <xf numFmtId="3" fontId="17" fillId="3" borderId="0" xfId="1" applyNumberFormat="1" applyFont="1" applyFill="1" applyAlignment="1">
      <alignment horizontal="right" vertical="center"/>
    </xf>
    <xf numFmtId="3" fontId="17" fillId="3" borderId="2" xfId="1" applyNumberFormat="1" applyFont="1" applyFill="1" applyBorder="1" applyAlignment="1">
      <alignment horizontal="right"/>
    </xf>
    <xf numFmtId="0" fontId="18" fillId="3" borderId="0" xfId="0" applyFont="1" applyFill="1" applyAlignment="1">
      <alignment horizontal="justify" vertical="center"/>
    </xf>
    <xf numFmtId="3" fontId="17" fillId="3" borderId="4" xfId="1" applyNumberFormat="1" applyFont="1" applyFill="1" applyBorder="1" applyAlignment="1">
      <alignment horizontal="right"/>
    </xf>
    <xf numFmtId="3" fontId="17" fillId="3" borderId="0" xfId="1" applyNumberFormat="1" applyFont="1" applyFill="1" applyAlignment="1">
      <alignment horizontal="right"/>
    </xf>
    <xf numFmtId="3" fontId="19" fillId="3" borderId="0" xfId="1" applyNumberFormat="1" applyFont="1" applyFill="1" applyAlignment="1">
      <alignment horizontal="right" vertical="center"/>
    </xf>
    <xf numFmtId="3" fontId="19" fillId="3" borderId="2" xfId="1" applyNumberFormat="1" applyFont="1" applyFill="1" applyBorder="1" applyAlignment="1">
      <alignment horizontal="right"/>
    </xf>
    <xf numFmtId="0" fontId="17" fillId="3" borderId="0" xfId="0" applyFont="1" applyFill="1"/>
    <xf numFmtId="165" fontId="17" fillId="3" borderId="0" xfId="2" applyNumberFormat="1" applyFont="1" applyFill="1"/>
    <xf numFmtId="165" fontId="17" fillId="3" borderId="2" xfId="2" applyNumberFormat="1" applyFont="1" applyFill="1" applyBorder="1"/>
    <xf numFmtId="165" fontId="17" fillId="3" borderId="4" xfId="2" applyNumberFormat="1" applyFont="1" applyFill="1" applyBorder="1"/>
    <xf numFmtId="0" fontId="8" fillId="0" borderId="0" xfId="0" applyFont="1"/>
    <xf numFmtId="0" fontId="18" fillId="0" borderId="0" xfId="0" applyFont="1"/>
    <xf numFmtId="3" fontId="18" fillId="0" borderId="0" xfId="1" applyNumberFormat="1" applyFont="1"/>
    <xf numFmtId="3" fontId="6" fillId="0" borderId="0" xfId="0" applyNumberFormat="1" applyFont="1"/>
    <xf numFmtId="3" fontId="18" fillId="0" borderId="2" xfId="1" applyNumberFormat="1" applyFont="1" applyBorder="1"/>
    <xf numFmtId="3" fontId="18" fillId="0" borderId="4" xfId="1" applyNumberFormat="1" applyFont="1" applyBorder="1"/>
    <xf numFmtId="0" fontId="17" fillId="0" borderId="0" xfId="0" applyFont="1"/>
    <xf numFmtId="3" fontId="17" fillId="0" borderId="0" xfId="1" applyNumberFormat="1" applyFont="1"/>
    <xf numFmtId="3" fontId="17" fillId="0" borderId="2" xfId="1" applyNumberFormat="1" applyFont="1" applyBorder="1"/>
    <xf numFmtId="3" fontId="17" fillId="0" borderId="4" xfId="1" applyNumberFormat="1" applyFont="1" applyBorder="1"/>
    <xf numFmtId="9" fontId="18" fillId="0" borderId="0" xfId="0" applyNumberFormat="1" applyFont="1"/>
    <xf numFmtId="9" fontId="18" fillId="0" borderId="2" xfId="0" applyNumberFormat="1" applyFont="1" applyBorder="1"/>
    <xf numFmtId="9" fontId="18" fillId="0" borderId="4" xfId="0" applyNumberFormat="1" applyFont="1" applyBorder="1"/>
    <xf numFmtId="0" fontId="4" fillId="0" borderId="0" xfId="0" applyFont="1" applyAlignment="1">
      <alignment horizontal="left" indent="3"/>
    </xf>
    <xf numFmtId="9" fontId="4" fillId="0" borderId="0" xfId="2" applyFont="1"/>
    <xf numFmtId="9" fontId="4" fillId="0" borderId="2" xfId="2" applyFont="1" applyBorder="1"/>
    <xf numFmtId="9" fontId="4" fillId="0" borderId="4" xfId="2" applyFont="1" applyBorder="1"/>
    <xf numFmtId="0" fontId="13" fillId="0" borderId="0" xfId="0" applyFont="1" applyAlignment="1">
      <alignment horizontal="justify" vertical="center"/>
    </xf>
    <xf numFmtId="0" fontId="18" fillId="4" borderId="0" xfId="0" applyFont="1" applyFill="1"/>
    <xf numFmtId="0" fontId="15" fillId="0" borderId="0" xfId="0" applyFont="1"/>
    <xf numFmtId="0" fontId="12" fillId="0" borderId="0" xfId="0" applyFont="1"/>
    <xf numFmtId="3" fontId="12" fillId="0" borderId="0" xfId="1" applyNumberFormat="1" applyFont="1"/>
    <xf numFmtId="3" fontId="12" fillId="0" borderId="2" xfId="1" applyNumberFormat="1" applyFont="1" applyBorder="1"/>
    <xf numFmtId="3" fontId="12" fillId="0" borderId="4" xfId="1" applyNumberFormat="1" applyFont="1" applyBorder="1"/>
    <xf numFmtId="9" fontId="15" fillId="0" borderId="0" xfId="0" applyNumberFormat="1" applyFont="1"/>
    <xf numFmtId="9" fontId="15" fillId="0" borderId="2" xfId="0" applyNumberFormat="1" applyFont="1" applyBorder="1"/>
    <xf numFmtId="9" fontId="15" fillId="0" borderId="4" xfId="0" applyNumberFormat="1" applyFont="1" applyBorder="1"/>
    <xf numFmtId="0" fontId="3" fillId="0" borderId="0" xfId="0" applyFont="1" applyAlignment="1">
      <alignment horizontal="left" indent="3"/>
    </xf>
    <xf numFmtId="9" fontId="3" fillId="0" borderId="0" xfId="2" applyNumberFormat="1" applyFont="1"/>
    <xf numFmtId="9" fontId="3" fillId="0" borderId="2" xfId="2" applyNumberFormat="1" applyFont="1" applyBorder="1"/>
    <xf numFmtId="9" fontId="3" fillId="0" borderId="4" xfId="2" applyNumberFormat="1" applyFont="1" applyBorder="1"/>
    <xf numFmtId="3" fontId="15" fillId="0" borderId="0" xfId="1" applyNumberFormat="1" applyFont="1"/>
    <xf numFmtId="3" fontId="15" fillId="0" borderId="2" xfId="1" applyNumberFormat="1" applyFont="1" applyBorder="1"/>
    <xf numFmtId="3" fontId="15" fillId="0" borderId="4" xfId="1" applyNumberFormat="1" applyFont="1" applyBorder="1"/>
    <xf numFmtId="3" fontId="6" fillId="0" borderId="2" xfId="0" applyNumberFormat="1" applyFont="1" applyBorder="1"/>
    <xf numFmtId="3" fontId="6" fillId="0" borderId="4" xfId="0" applyNumberFormat="1" applyFont="1" applyBorder="1"/>
    <xf numFmtId="166" fontId="20" fillId="0" borderId="0" xfId="1" applyNumberFormat="1" applyFont="1" applyAlignment="1">
      <alignment horizontal="justify" vertical="center"/>
    </xf>
    <xf numFmtId="9" fontId="6" fillId="0" borderId="0" xfId="0" applyNumberFormat="1" applyFont="1"/>
    <xf numFmtId="0" fontId="13" fillId="3" borderId="0" xfId="0" applyFont="1" applyFill="1" applyAlignment="1">
      <alignment horizontal="justify" vertical="center"/>
    </xf>
    <xf numFmtId="3" fontId="18" fillId="3" borderId="0" xfId="1" applyNumberFormat="1" applyFont="1" applyFill="1" applyAlignment="1">
      <alignment horizontal="right" vertical="center"/>
    </xf>
    <xf numFmtId="3" fontId="15" fillId="3" borderId="2" xfId="1" applyNumberFormat="1" applyFont="1" applyFill="1" applyBorder="1" applyAlignment="1">
      <alignment horizontal="right" vertical="center"/>
    </xf>
    <xf numFmtId="3" fontId="15" fillId="3" borderId="0" xfId="1" applyNumberFormat="1" applyFont="1" applyFill="1" applyBorder="1" applyAlignment="1">
      <alignment horizontal="right" vertical="center"/>
    </xf>
    <xf numFmtId="3" fontId="21" fillId="3" borderId="0" xfId="1" applyNumberFormat="1" applyFont="1" applyFill="1" applyAlignment="1">
      <alignment horizontal="right" vertical="center"/>
    </xf>
    <xf numFmtId="3" fontId="4" fillId="3" borderId="0" xfId="1" applyNumberFormat="1" applyFont="1" applyFill="1" applyAlignment="1">
      <alignment horizontal="right" vertical="center"/>
    </xf>
    <xf numFmtId="3" fontId="3" fillId="3" borderId="2" xfId="1" applyNumberFormat="1" applyFont="1" applyFill="1" applyBorder="1" applyAlignment="1">
      <alignment horizontal="right" vertical="center"/>
    </xf>
    <xf numFmtId="3" fontId="3" fillId="3" borderId="0" xfId="1" applyNumberFormat="1" applyFont="1" applyFill="1" applyBorder="1" applyAlignment="1">
      <alignment horizontal="right" vertical="center"/>
    </xf>
    <xf numFmtId="3" fontId="5" fillId="3" borderId="0" xfId="1" applyNumberFormat="1" applyFont="1" applyFill="1" applyAlignment="1">
      <alignment horizontal="right" vertical="center"/>
    </xf>
    <xf numFmtId="0" fontId="14" fillId="3" borderId="0" xfId="0" applyFont="1" applyFill="1"/>
    <xf numFmtId="10" fontId="17" fillId="3" borderId="0" xfId="2" applyNumberFormat="1" applyFont="1" applyFill="1"/>
    <xf numFmtId="10" fontId="12" fillId="3" borderId="2" xfId="2" applyNumberFormat="1" applyFont="1" applyFill="1" applyBorder="1"/>
    <xf numFmtId="10" fontId="12" fillId="3" borderId="0" xfId="2" applyNumberFormat="1" applyFont="1" applyFill="1" applyBorder="1"/>
    <xf numFmtId="10" fontId="22" fillId="3" borderId="0" xfId="2" applyNumberFormat="1" applyFont="1" applyFill="1"/>
    <xf numFmtId="0" fontId="23" fillId="0" borderId="0" xfId="0" applyFont="1"/>
    <xf numFmtId="10" fontId="15" fillId="3" borderId="0" xfId="2" applyNumberFormat="1" applyFont="1" applyFill="1"/>
    <xf numFmtId="10" fontId="18" fillId="3" borderId="0" xfId="2" applyNumberFormat="1" applyFont="1" applyFill="1"/>
    <xf numFmtId="10" fontId="15" fillId="3" borderId="2" xfId="2" applyNumberFormat="1" applyFont="1" applyFill="1" applyBorder="1"/>
    <xf numFmtId="10" fontId="15" fillId="3" borderId="0" xfId="2" applyNumberFormat="1" applyFont="1" applyFill="1" applyBorder="1"/>
    <xf numFmtId="10" fontId="21" fillId="3" borderId="0" xfId="2" applyNumberFormat="1" applyFont="1" applyFill="1"/>
    <xf numFmtId="0" fontId="11" fillId="3" borderId="0" xfId="0" applyFont="1" applyFill="1" applyAlignment="1">
      <alignment horizontal="justify" vertical="center"/>
    </xf>
    <xf numFmtId="0" fontId="15" fillId="3" borderId="2" xfId="0" applyFont="1" applyFill="1" applyBorder="1"/>
    <xf numFmtId="0" fontId="15" fillId="3" borderId="0" xfId="0" applyFont="1" applyFill="1" applyBorder="1"/>
    <xf numFmtId="0" fontId="21" fillId="3" borderId="0" xfId="0" applyFont="1" applyFill="1"/>
    <xf numFmtId="165" fontId="3" fillId="3" borderId="0" xfId="2" applyNumberFormat="1" applyFont="1" applyFill="1"/>
    <xf numFmtId="165" fontId="4" fillId="3" borderId="0" xfId="2" applyNumberFormat="1" applyFont="1" applyFill="1"/>
    <xf numFmtId="165" fontId="3" fillId="3" borderId="2" xfId="2" applyNumberFormat="1" applyFont="1" applyFill="1" applyBorder="1"/>
    <xf numFmtId="165" fontId="3" fillId="3" borderId="0" xfId="2" applyNumberFormat="1" applyFont="1" applyFill="1" applyBorder="1"/>
    <xf numFmtId="165" fontId="5" fillId="3" borderId="0" xfId="2" applyNumberFormat="1" applyFont="1" applyFill="1"/>
    <xf numFmtId="9" fontId="3" fillId="3" borderId="0" xfId="2" applyFont="1" applyFill="1"/>
    <xf numFmtId="0" fontId="3" fillId="3" borderId="0" xfId="0" applyFont="1" applyFill="1"/>
    <xf numFmtId="0" fontId="3" fillId="3" borderId="2" xfId="0" applyFont="1" applyFill="1" applyBorder="1"/>
    <xf numFmtId="0" fontId="3" fillId="3" borderId="0" xfId="0" applyFont="1" applyFill="1" applyBorder="1"/>
    <xf numFmtId="0" fontId="5" fillId="3" borderId="0" xfId="0" applyFont="1" applyFill="1"/>
    <xf numFmtId="9" fontId="4" fillId="3" borderId="0" xfId="0" applyNumberFormat="1" applyFont="1" applyFill="1"/>
    <xf numFmtId="9" fontId="5" fillId="3" borderId="0" xfId="0" applyNumberFormat="1" applyFont="1" applyFill="1"/>
    <xf numFmtId="0" fontId="6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20" fillId="0" borderId="0" xfId="0" applyFont="1" applyAlignment="1">
      <alignment horizontal="justify" vertical="center" wrapText="1"/>
    </xf>
    <xf numFmtId="0" fontId="20" fillId="0" borderId="6" xfId="0" applyFont="1" applyBorder="1" applyAlignment="1">
      <alignment horizontal="justify" vertical="center" wrapText="1"/>
    </xf>
    <xf numFmtId="167" fontId="22" fillId="0" borderId="0" xfId="1" applyNumberFormat="1" applyFont="1" applyFill="1" applyAlignment="1">
      <alignment wrapText="1"/>
    </xf>
    <xf numFmtId="167" fontId="22" fillId="0" borderId="2" xfId="1" applyNumberFormat="1" applyFont="1" applyFill="1" applyBorder="1" applyAlignment="1">
      <alignment wrapText="1"/>
    </xf>
    <xf numFmtId="167" fontId="22" fillId="0" borderId="4" xfId="1" applyNumberFormat="1" applyFont="1" applyFill="1" applyBorder="1" applyAlignment="1">
      <alignment wrapText="1"/>
    </xf>
    <xf numFmtId="167" fontId="21" fillId="0" borderId="0" xfId="1" applyNumberFormat="1" applyFont="1" applyFill="1" applyAlignment="1">
      <alignment wrapText="1"/>
    </xf>
    <xf numFmtId="167" fontId="21" fillId="0" borderId="2" xfId="1" applyNumberFormat="1" applyFont="1" applyFill="1" applyBorder="1" applyAlignment="1">
      <alignment wrapText="1"/>
    </xf>
    <xf numFmtId="167" fontId="21" fillId="0" borderId="4" xfId="1" applyNumberFormat="1" applyFont="1" applyFill="1" applyBorder="1" applyAlignment="1">
      <alignment wrapText="1"/>
    </xf>
    <xf numFmtId="167" fontId="25" fillId="0" borderId="0" xfId="1" applyNumberFormat="1" applyFont="1" applyFill="1" applyAlignment="1">
      <alignment wrapText="1"/>
    </xf>
    <xf numFmtId="167" fontId="5" fillId="0" borderId="0" xfId="1" applyNumberFormat="1" applyFont="1" applyFill="1" applyAlignment="1">
      <alignment wrapText="1"/>
    </xf>
    <xf numFmtId="167" fontId="5" fillId="0" borderId="2" xfId="1" applyNumberFormat="1" applyFont="1" applyFill="1" applyBorder="1" applyAlignment="1">
      <alignment wrapText="1"/>
    </xf>
    <xf numFmtId="167" fontId="5" fillId="0" borderId="4" xfId="1" applyNumberFormat="1" applyFont="1" applyFill="1" applyBorder="1" applyAlignment="1">
      <alignment wrapText="1"/>
    </xf>
    <xf numFmtId="0" fontId="19" fillId="0" borderId="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6" fillId="0" borderId="1" xfId="0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4" fillId="3" borderId="0" xfId="0" applyFont="1" applyFill="1" applyAlignment="1">
      <alignment horizontal="left" vertical="center" indent="3"/>
    </xf>
    <xf numFmtId="0" fontId="2" fillId="5" borderId="0" xfId="0" applyFont="1" applyFill="1"/>
    <xf numFmtId="0" fontId="24" fillId="0" borderId="0" xfId="0" applyFont="1" applyAlignment="1">
      <alignment horizontal="left" indent="4"/>
    </xf>
    <xf numFmtId="0" fontId="2" fillId="0" borderId="0" xfId="0" applyFont="1" applyFill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indent="3"/>
    </xf>
    <xf numFmtId="3" fontId="12" fillId="5" borderId="0" xfId="1" applyNumberFormat="1" applyFont="1" applyFill="1" applyAlignment="1">
      <alignment horizontal="right" vertical="center"/>
    </xf>
    <xf numFmtId="3" fontId="17" fillId="5" borderId="0" xfId="1" applyNumberFormat="1" applyFont="1" applyFill="1" applyAlignment="1">
      <alignment horizontal="right" vertical="center"/>
    </xf>
    <xf numFmtId="3" fontId="12" fillId="5" borderId="2" xfId="1" applyNumberFormat="1" applyFont="1" applyFill="1" applyBorder="1" applyAlignment="1">
      <alignment horizontal="right" vertical="center"/>
    </xf>
    <xf numFmtId="3" fontId="12" fillId="5" borderId="0" xfId="1" applyNumberFormat="1" applyFont="1" applyFill="1" applyBorder="1" applyAlignment="1">
      <alignment horizontal="right" vertical="center"/>
    </xf>
    <xf numFmtId="3" fontId="15" fillId="5" borderId="0" xfId="1" applyNumberFormat="1" applyFont="1" applyFill="1" applyAlignment="1">
      <alignment horizontal="right" vertical="center"/>
    </xf>
    <xf numFmtId="3" fontId="3" fillId="5" borderId="0" xfId="1" applyNumberFormat="1" applyFont="1" applyFill="1" applyAlignment="1">
      <alignment horizontal="right" vertical="center"/>
    </xf>
    <xf numFmtId="3" fontId="17" fillId="5" borderId="0" xfId="1" applyNumberFormat="1" applyFont="1" applyFill="1" applyBorder="1" applyAlignment="1">
      <alignment horizontal="right"/>
    </xf>
    <xf numFmtId="3" fontId="18" fillId="5" borderId="0" xfId="1" applyNumberFormat="1" applyFont="1" applyFill="1" applyBorder="1" applyAlignment="1">
      <alignment horizontal="right"/>
    </xf>
    <xf numFmtId="3" fontId="4" fillId="5" borderId="0" xfId="1" applyNumberFormat="1" applyFont="1" applyFill="1" applyBorder="1" applyAlignment="1">
      <alignment horizontal="right"/>
    </xf>
    <xf numFmtId="3" fontId="19" fillId="5" borderId="0" xfId="1" applyNumberFormat="1" applyFont="1" applyFill="1" applyBorder="1" applyAlignment="1">
      <alignment horizontal="right"/>
    </xf>
    <xf numFmtId="3" fontId="15" fillId="5" borderId="0" xfId="1" applyNumberFormat="1" applyFont="1" applyFill="1" applyBorder="1" applyAlignment="1">
      <alignment horizontal="right" vertical="center"/>
    </xf>
    <xf numFmtId="3" fontId="3" fillId="5" borderId="0" xfId="1" applyNumberFormat="1" applyFont="1" applyFill="1" applyBorder="1" applyAlignment="1">
      <alignment horizontal="right" vertical="center"/>
    </xf>
    <xf numFmtId="3" fontId="16" fillId="5" borderId="0" xfId="1" applyNumberFormat="1" applyFont="1" applyFill="1" applyBorder="1" applyAlignment="1">
      <alignment horizontal="right" vertical="center"/>
    </xf>
    <xf numFmtId="3" fontId="17" fillId="3" borderId="18" xfId="1" applyNumberFormat="1" applyFont="1" applyFill="1" applyBorder="1" applyAlignment="1">
      <alignment horizontal="right"/>
    </xf>
    <xf numFmtId="165" fontId="17" fillId="3" borderId="18" xfId="2" applyNumberFormat="1" applyFont="1" applyFill="1" applyBorder="1"/>
    <xf numFmtId="3" fontId="12" fillId="3" borderId="18" xfId="1" applyNumberFormat="1" applyFont="1" applyFill="1" applyBorder="1" applyAlignment="1">
      <alignment horizontal="right" vertical="center"/>
    </xf>
    <xf numFmtId="165" fontId="12" fillId="3" borderId="18" xfId="2" applyNumberFormat="1" applyFont="1" applyFill="1" applyBorder="1"/>
    <xf numFmtId="0" fontId="18" fillId="2" borderId="0" xfId="0" applyFont="1" applyFill="1" applyBorder="1"/>
    <xf numFmtId="0" fontId="18" fillId="2" borderId="18" xfId="0" applyFont="1" applyFill="1" applyBorder="1" applyAlignment="1">
      <alignment horizontal="justify" vertical="center"/>
    </xf>
    <xf numFmtId="3" fontId="17" fillId="5" borderId="18" xfId="1" applyNumberFormat="1" applyFont="1" applyFill="1" applyBorder="1" applyAlignment="1">
      <alignment horizontal="right"/>
    </xf>
    <xf numFmtId="3" fontId="18" fillId="5" borderId="18" xfId="1" applyNumberFormat="1" applyFont="1" applyFill="1" applyBorder="1" applyAlignment="1">
      <alignment horizontal="right"/>
    </xf>
    <xf numFmtId="3" fontId="18" fillId="3" borderId="0" xfId="1" applyNumberFormat="1" applyFont="1" applyFill="1" applyBorder="1" applyAlignment="1">
      <alignment horizontal="right"/>
    </xf>
    <xf numFmtId="3" fontId="18" fillId="3" borderId="18" xfId="1" applyNumberFormat="1" applyFont="1" applyFill="1" applyBorder="1" applyAlignment="1">
      <alignment horizontal="right"/>
    </xf>
    <xf numFmtId="3" fontId="4" fillId="5" borderId="18" xfId="1" applyNumberFormat="1" applyFont="1" applyFill="1" applyBorder="1" applyAlignment="1">
      <alignment horizontal="right"/>
    </xf>
    <xf numFmtId="3" fontId="17" fillId="3" borderId="0" xfId="1" applyNumberFormat="1" applyFont="1" applyFill="1" applyBorder="1" applyAlignment="1">
      <alignment horizontal="right"/>
    </xf>
    <xf numFmtId="165" fontId="17" fillId="3" borderId="0" xfId="2" applyNumberFormat="1" applyFont="1" applyFill="1" applyBorder="1"/>
    <xf numFmtId="0" fontId="15" fillId="4" borderId="0" xfId="0" applyFont="1" applyFill="1" applyBorder="1"/>
    <xf numFmtId="0" fontId="15" fillId="4" borderId="18" xfId="0" applyFont="1" applyFill="1" applyBorder="1" applyAlignment="1">
      <alignment horizontal="justify" vertical="center"/>
    </xf>
    <xf numFmtId="3" fontId="12" fillId="5" borderId="18" xfId="1" applyNumberFormat="1" applyFont="1" applyFill="1" applyBorder="1" applyAlignment="1">
      <alignment horizontal="right" vertical="center"/>
    </xf>
    <xf numFmtId="3" fontId="15" fillId="5" borderId="18" xfId="1" applyNumberFormat="1" applyFont="1" applyFill="1" applyBorder="1" applyAlignment="1">
      <alignment horizontal="right" vertical="center"/>
    </xf>
    <xf numFmtId="3" fontId="15" fillId="3" borderId="18" xfId="1" applyNumberFormat="1" applyFont="1" applyFill="1" applyBorder="1" applyAlignment="1">
      <alignment horizontal="right" vertical="center"/>
    </xf>
    <xf numFmtId="3" fontId="3" fillId="5" borderId="18" xfId="1" applyNumberFormat="1" applyFont="1" applyFill="1" applyBorder="1" applyAlignment="1">
      <alignment horizontal="right" vertical="center"/>
    </xf>
    <xf numFmtId="3" fontId="12" fillId="3" borderId="0" xfId="1" applyNumberFormat="1" applyFont="1" applyFill="1" applyBorder="1" applyAlignment="1">
      <alignment horizontal="right" vertical="center"/>
    </xf>
    <xf numFmtId="165" fontId="12" fillId="3" borderId="0" xfId="2" applyNumberFormat="1" applyFont="1" applyFill="1" applyBorder="1"/>
    <xf numFmtId="3" fontId="17" fillId="5" borderId="4" xfId="1" applyNumberFormat="1" applyFont="1" applyFill="1" applyBorder="1" applyAlignment="1">
      <alignment horizontal="right"/>
    </xf>
    <xf numFmtId="3" fontId="19" fillId="5" borderId="4" xfId="1" applyNumberFormat="1" applyFont="1" applyFill="1" applyBorder="1" applyAlignment="1">
      <alignment horizontal="right"/>
    </xf>
    <xf numFmtId="3" fontId="12" fillId="5" borderId="4" xfId="1" applyNumberFormat="1" applyFont="1" applyFill="1" applyBorder="1" applyAlignment="1">
      <alignment horizontal="right" vertical="center"/>
    </xf>
    <xf numFmtId="3" fontId="16" fillId="5" borderId="4" xfId="1" applyNumberFormat="1" applyFont="1" applyFill="1" applyBorder="1" applyAlignment="1">
      <alignment horizontal="right" vertical="center"/>
    </xf>
    <xf numFmtId="0" fontId="17" fillId="9" borderId="0" xfId="0" applyFont="1" applyFill="1"/>
    <xf numFmtId="3" fontId="17" fillId="9" borderId="0" xfId="1" applyNumberFormat="1" applyFont="1" applyFill="1"/>
    <xf numFmtId="3" fontId="17" fillId="9" borderId="2" xfId="1" applyNumberFormat="1" applyFont="1" applyFill="1" applyBorder="1"/>
    <xf numFmtId="3" fontId="17" fillId="9" borderId="4" xfId="1" applyNumberFormat="1" applyFont="1" applyFill="1" applyBorder="1"/>
    <xf numFmtId="0" fontId="12" fillId="9" borderId="0" xfId="0" applyFont="1" applyFill="1"/>
    <xf numFmtId="3" fontId="12" fillId="9" borderId="0" xfId="0" applyNumberFormat="1" applyFont="1" applyFill="1"/>
    <xf numFmtId="3" fontId="12" fillId="9" borderId="2" xfId="1" applyNumberFormat="1" applyFont="1" applyFill="1" applyBorder="1"/>
    <xf numFmtId="3" fontId="12" fillId="9" borderId="0" xfId="1" applyNumberFormat="1" applyFont="1" applyFill="1"/>
    <xf numFmtId="3" fontId="12" fillId="9" borderId="4" xfId="1" applyNumberFormat="1" applyFont="1" applyFill="1" applyBorder="1"/>
    <xf numFmtId="0" fontId="14" fillId="9" borderId="0" xfId="0" applyFont="1" applyFill="1" applyAlignment="1">
      <alignment horizontal="justify" vertical="center"/>
    </xf>
    <xf numFmtId="3" fontId="12" fillId="9" borderId="0" xfId="1" applyNumberFormat="1" applyFont="1" applyFill="1" applyAlignment="1">
      <alignment horizontal="right" vertical="center"/>
    </xf>
    <xf numFmtId="3" fontId="17" fillId="9" borderId="0" xfId="1" applyNumberFormat="1" applyFont="1" applyFill="1" applyAlignment="1">
      <alignment horizontal="right" vertical="center"/>
    </xf>
    <xf numFmtId="3" fontId="12" fillId="9" borderId="2" xfId="1" applyNumberFormat="1" applyFont="1" applyFill="1" applyBorder="1" applyAlignment="1">
      <alignment horizontal="right" vertical="center"/>
    </xf>
    <xf numFmtId="3" fontId="12" fillId="9" borderId="0" xfId="1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justify" vertical="center"/>
    </xf>
    <xf numFmtId="0" fontId="13" fillId="0" borderId="0" xfId="0" applyFont="1" applyBorder="1" applyAlignment="1">
      <alignment horizontal="justify" vertical="center"/>
    </xf>
    <xf numFmtId="0" fontId="19" fillId="0" borderId="19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9" fontId="5" fillId="5" borderId="0" xfId="0" applyNumberFormat="1" applyFont="1" applyFill="1"/>
    <xf numFmtId="9" fontId="4" fillId="5" borderId="0" xfId="0" applyNumberFormat="1" applyFont="1" applyFill="1"/>
    <xf numFmtId="165" fontId="4" fillId="5" borderId="0" xfId="2" applyNumberFormat="1" applyFont="1" applyFill="1"/>
    <xf numFmtId="0" fontId="3" fillId="5" borderId="0" xfId="0" applyFont="1" applyFill="1"/>
    <xf numFmtId="0" fontId="14" fillId="0" borderId="13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22" fillId="0" borderId="0" xfId="1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27" fillId="0" borderId="0" xfId="0" applyNumberFormat="1" applyFont="1" applyFill="1"/>
    <xf numFmtId="0" fontId="27" fillId="0" borderId="0" xfId="0" applyFont="1" applyFill="1"/>
    <xf numFmtId="3" fontId="27" fillId="0" borderId="0" xfId="0" applyNumberFormat="1" applyFont="1" applyFill="1" applyAlignment="1">
      <alignment horizontal="center" vertical="center"/>
    </xf>
    <xf numFmtId="0" fontId="23" fillId="3" borderId="1" xfId="0" applyFont="1" applyFill="1" applyBorder="1"/>
    <xf numFmtId="0" fontId="14" fillId="10" borderId="0" xfId="0" applyFont="1" applyFill="1"/>
    <xf numFmtId="0" fontId="13" fillId="10" borderId="0" xfId="0" applyFont="1" applyFill="1"/>
    <xf numFmtId="0" fontId="6" fillId="10" borderId="0" xfId="0" applyFont="1" applyFill="1"/>
    <xf numFmtId="9" fontId="6" fillId="10" borderId="0" xfId="0" applyNumberFormat="1" applyFont="1" applyFill="1"/>
    <xf numFmtId="0" fontId="0" fillId="10" borderId="0" xfId="0" applyFill="1"/>
    <xf numFmtId="0" fontId="6" fillId="10" borderId="0" xfId="0" applyFont="1" applyFill="1" applyAlignment="1">
      <alignment wrapText="1"/>
    </xf>
    <xf numFmtId="0" fontId="8" fillId="10" borderId="0" xfId="0" applyFont="1" applyFill="1" applyBorder="1" applyAlignment="1">
      <alignment vertical="center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vertical="center"/>
    </xf>
    <xf numFmtId="0" fontId="6" fillId="10" borderId="0" xfId="0" applyFont="1" applyFill="1" applyBorder="1" applyAlignment="1">
      <alignment vertical="center"/>
    </xf>
    <xf numFmtId="0" fontId="6" fillId="10" borderId="0" xfId="0" applyFont="1" applyFill="1" applyAlignment="1">
      <alignment vertical="center"/>
    </xf>
    <xf numFmtId="0" fontId="7" fillId="10" borderId="0" xfId="0" applyFont="1" applyFill="1" applyAlignment="1">
      <alignment vertical="center"/>
    </xf>
    <xf numFmtId="0" fontId="13" fillId="6" borderId="0" xfId="0" applyFont="1" applyFill="1"/>
    <xf numFmtId="0" fontId="6" fillId="6" borderId="0" xfId="0" applyFont="1" applyFill="1"/>
    <xf numFmtId="0" fontId="18" fillId="6" borderId="0" xfId="0" applyFont="1" applyFill="1" applyAlignment="1">
      <alignment horizontal="center"/>
    </xf>
    <xf numFmtId="0" fontId="15" fillId="6" borderId="0" xfId="0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0" fontId="4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6" fillId="6" borderId="0" xfId="0" applyFont="1" applyFill="1" applyAlignment="1"/>
    <xf numFmtId="0" fontId="6" fillId="6" borderId="0" xfId="0" applyFont="1" applyFill="1" applyBorder="1" applyAlignment="1"/>
    <xf numFmtId="0" fontId="6" fillId="6" borderId="18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13" fillId="6" borderId="1" xfId="0" applyFont="1" applyFill="1" applyBorder="1" applyAlignment="1">
      <alignment horizontal="center"/>
    </xf>
    <xf numFmtId="0" fontId="13" fillId="6" borderId="19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8" fillId="0" borderId="0" xfId="0" applyFont="1"/>
    <xf numFmtId="0" fontId="14" fillId="6" borderId="2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23" fillId="6" borderId="1" xfId="0" applyFont="1" applyFill="1" applyBorder="1"/>
    <xf numFmtId="0" fontId="14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horizontal="center"/>
    </xf>
    <xf numFmtId="167" fontId="6" fillId="5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/>
    </xf>
    <xf numFmtId="3" fontId="6" fillId="5" borderId="0" xfId="0" applyNumberFormat="1" applyFont="1" applyFill="1" applyBorder="1"/>
    <xf numFmtId="169" fontId="6" fillId="5" borderId="0" xfId="0" applyNumberFormat="1" applyFont="1" applyFill="1" applyBorder="1"/>
    <xf numFmtId="3" fontId="8" fillId="0" borderId="0" xfId="0" applyNumberFormat="1" applyFont="1" applyFill="1" applyBorder="1"/>
    <xf numFmtId="0" fontId="8" fillId="6" borderId="3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/>
    <xf numFmtId="3" fontId="8" fillId="0" borderId="2" xfId="0" applyNumberFormat="1" applyFont="1" applyFill="1" applyBorder="1"/>
    <xf numFmtId="0" fontId="8" fillId="6" borderId="19" xfId="0" applyFont="1" applyFill="1" applyBorder="1" applyAlignment="1">
      <alignment horizontal="center" vertical="center" wrapText="1"/>
    </xf>
    <xf numFmtId="3" fontId="6" fillId="5" borderId="18" xfId="0" applyNumberFormat="1" applyFont="1" applyFill="1" applyBorder="1"/>
    <xf numFmtId="4" fontId="6" fillId="5" borderId="18" xfId="0" applyNumberFormat="1" applyFont="1" applyFill="1" applyBorder="1"/>
    <xf numFmtId="3" fontId="8" fillId="0" borderId="18" xfId="0" applyNumberFormat="1" applyFont="1" applyFill="1" applyBorder="1"/>
    <xf numFmtId="0" fontId="8" fillId="6" borderId="19" xfId="0" applyFont="1" applyFill="1" applyBorder="1" applyAlignment="1">
      <alignment horizontal="center" vertical="center" wrapText="1"/>
    </xf>
    <xf numFmtId="0" fontId="6" fillId="0" borderId="18" xfId="0" applyFont="1" applyFill="1" applyBorder="1"/>
    <xf numFmtId="0" fontId="6" fillId="0" borderId="19" xfId="0" applyFont="1" applyFill="1" applyBorder="1"/>
    <xf numFmtId="0" fontId="8" fillId="0" borderId="18" xfId="0" applyFont="1" applyFill="1" applyBorder="1"/>
    <xf numFmtId="3" fontId="6" fillId="7" borderId="0" xfId="0" applyNumberFormat="1" applyFont="1" applyFill="1" applyBorder="1"/>
    <xf numFmtId="3" fontId="6" fillId="0" borderId="0" xfId="0" applyNumberFormat="1" applyFont="1" applyFill="1" applyBorder="1"/>
    <xf numFmtId="9" fontId="6" fillId="0" borderId="0" xfId="2" applyFont="1" applyFill="1" applyBorder="1"/>
    <xf numFmtId="3" fontId="8" fillId="7" borderId="0" xfId="0" applyNumberFormat="1" applyFont="1" applyFill="1" applyBorder="1"/>
    <xf numFmtId="0" fontId="8" fillId="6" borderId="3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/>
    <xf numFmtId="3" fontId="6" fillId="0" borderId="2" xfId="0" applyNumberFormat="1" applyFont="1" applyFill="1" applyBorder="1"/>
    <xf numFmtId="3" fontId="6" fillId="0" borderId="18" xfId="0" applyNumberFormat="1" applyFont="1" applyFill="1" applyBorder="1"/>
    <xf numFmtId="0" fontId="6" fillId="0" borderId="2" xfId="0" applyFont="1" applyFill="1" applyBorder="1"/>
    <xf numFmtId="9" fontId="6" fillId="0" borderId="2" xfId="2" applyFont="1" applyFill="1" applyBorder="1"/>
    <xf numFmtId="9" fontId="6" fillId="0" borderId="18" xfId="2" applyFont="1" applyFill="1" applyBorder="1"/>
    <xf numFmtId="169" fontId="8" fillId="0" borderId="2" xfId="0" applyNumberFormat="1" applyFont="1" applyFill="1" applyBorder="1"/>
    <xf numFmtId="169" fontId="8" fillId="0" borderId="18" xfId="0" applyNumberFormat="1" applyFont="1" applyFill="1" applyBorder="1"/>
    <xf numFmtId="168" fontId="6" fillId="0" borderId="18" xfId="0" applyNumberFormat="1" applyFont="1" applyFill="1" applyBorder="1"/>
    <xf numFmtId="167" fontId="6" fillId="0" borderId="0" xfId="0" applyNumberFormat="1" applyFont="1" applyFill="1" applyBorder="1"/>
    <xf numFmtId="9" fontId="8" fillId="0" borderId="0" xfId="2" applyFont="1" applyFill="1" applyBorder="1"/>
    <xf numFmtId="167" fontId="8" fillId="3" borderId="0" xfId="0" applyNumberFormat="1" applyFont="1" applyFill="1" applyBorder="1"/>
    <xf numFmtId="168" fontId="8" fillId="3" borderId="18" xfId="0" applyNumberFormat="1" applyFont="1" applyFill="1" applyBorder="1"/>
    <xf numFmtId="3" fontId="6" fillId="8" borderId="2" xfId="0" applyNumberFormat="1" applyFont="1" applyFill="1" applyBorder="1"/>
    <xf numFmtId="3" fontId="6" fillId="8" borderId="18" xfId="0" applyNumberFormat="1" applyFont="1" applyFill="1" applyBorder="1"/>
    <xf numFmtId="3" fontId="8" fillId="3" borderId="2" xfId="0" applyNumberFormat="1" applyFont="1" applyFill="1" applyBorder="1"/>
    <xf numFmtId="3" fontId="8" fillId="3" borderId="18" xfId="0" applyNumberFormat="1" applyFont="1" applyFill="1" applyBorder="1"/>
    <xf numFmtId="1" fontId="6" fillId="8" borderId="2" xfId="0" applyNumberFormat="1" applyFont="1" applyFill="1" applyBorder="1"/>
    <xf numFmtId="167" fontId="8" fillId="3" borderId="18" xfId="0" applyNumberFormat="1" applyFont="1" applyFill="1" applyBorder="1"/>
    <xf numFmtId="167" fontId="6" fillId="0" borderId="2" xfId="0" applyNumberFormat="1" applyFont="1" applyFill="1" applyBorder="1"/>
    <xf numFmtId="167" fontId="6" fillId="0" borderId="18" xfId="0" applyNumberFormat="1" applyFont="1" applyFill="1" applyBorder="1"/>
    <xf numFmtId="167" fontId="8" fillId="3" borderId="2" xfId="0" applyNumberFormat="1" applyFont="1" applyFill="1" applyBorder="1"/>
    <xf numFmtId="168" fontId="6" fillId="0" borderId="19" xfId="0" applyNumberFormat="1" applyFont="1" applyFill="1" applyBorder="1"/>
    <xf numFmtId="3" fontId="6" fillId="7" borderId="1" xfId="0" applyNumberFormat="1" applyFont="1" applyFill="1" applyBorder="1"/>
    <xf numFmtId="3" fontId="6" fillId="0" borderId="3" xfId="0" applyNumberFormat="1" applyFont="1" applyFill="1" applyBorder="1"/>
    <xf numFmtId="3" fontId="6" fillId="0" borderId="1" xfId="0" applyNumberFormat="1" applyFont="1" applyFill="1" applyBorder="1"/>
    <xf numFmtId="3" fontId="6" fillId="0" borderId="19" xfId="0" applyNumberFormat="1" applyFont="1" applyFill="1" applyBorder="1"/>
    <xf numFmtId="9" fontId="6" fillId="0" borderId="3" xfId="2" applyFont="1" applyFill="1" applyBorder="1"/>
    <xf numFmtId="9" fontId="6" fillId="0" borderId="19" xfId="2" applyFont="1" applyFill="1" applyBorder="1"/>
    <xf numFmtId="3" fontId="6" fillId="8" borderId="3" xfId="0" applyNumberFormat="1" applyFont="1" applyFill="1" applyBorder="1"/>
    <xf numFmtId="9" fontId="6" fillId="0" borderId="1" xfId="2" applyFont="1" applyFill="1" applyBorder="1"/>
    <xf numFmtId="3" fontId="6" fillId="8" borderId="19" xfId="0" applyNumberFormat="1" applyFont="1" applyFill="1" applyBorder="1"/>
    <xf numFmtId="1" fontId="6" fillId="8" borderId="3" xfId="0" applyNumberFormat="1" applyFont="1" applyFill="1" applyBorder="1"/>
    <xf numFmtId="167" fontId="6" fillId="0" borderId="3" xfId="0" applyNumberFormat="1" applyFont="1" applyFill="1" applyBorder="1"/>
    <xf numFmtId="167" fontId="6" fillId="0" borderId="1" xfId="0" applyNumberFormat="1" applyFont="1" applyFill="1" applyBorder="1"/>
    <xf numFmtId="167" fontId="6" fillId="0" borderId="19" xfId="0" applyNumberFormat="1" applyFont="1" applyFill="1" applyBorder="1"/>
    <xf numFmtId="3" fontId="6" fillId="5" borderId="1" xfId="0" applyNumberFormat="1" applyFont="1" applyFill="1" applyBorder="1"/>
    <xf numFmtId="3" fontId="6" fillId="5" borderId="3" xfId="0" applyNumberFormat="1" applyFont="1" applyFill="1" applyBorder="1"/>
    <xf numFmtId="4" fontId="6" fillId="5" borderId="19" xfId="0" applyNumberFormat="1" applyFont="1" applyFill="1" applyBorder="1"/>
    <xf numFmtId="169" fontId="6" fillId="5" borderId="1" xfId="0" applyNumberFormat="1" applyFont="1" applyFill="1" applyBorder="1"/>
    <xf numFmtId="49" fontId="6" fillId="0" borderId="18" xfId="0" applyNumberFormat="1" applyFont="1" applyFill="1" applyBorder="1"/>
    <xf numFmtId="49" fontId="6" fillId="0" borderId="19" xfId="0" applyNumberFormat="1" applyFont="1" applyFill="1" applyBorder="1"/>
    <xf numFmtId="49" fontId="6" fillId="0" borderId="18" xfId="0" applyNumberFormat="1" applyFont="1" applyFill="1" applyBorder="1" applyAlignment="1"/>
    <xf numFmtId="0" fontId="8" fillId="10" borderId="0" xfId="0" applyFont="1" applyFill="1" applyAlignment="1">
      <alignment vertical="top"/>
    </xf>
    <xf numFmtId="0" fontId="6" fillId="10" borderId="0" xfId="0" applyFont="1" applyFill="1" applyAlignment="1">
      <alignment vertical="top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13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4" fillId="6" borderId="0" xfId="0" applyFont="1" applyFill="1" applyBorder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left"/>
    </xf>
    <xf numFmtId="0" fontId="13" fillId="6" borderId="18" xfId="0" applyFont="1" applyFill="1" applyBorder="1" applyAlignment="1">
      <alignment horizontal="left"/>
    </xf>
    <xf numFmtId="0" fontId="14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18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3" fontId="6" fillId="5" borderId="0" xfId="0" applyNumberFormat="1" applyFont="1" applyFill="1" applyBorder="1" applyAlignment="1">
      <alignment vertical="top"/>
    </xf>
    <xf numFmtId="0" fontId="6" fillId="5" borderId="0" xfId="0" applyFont="1" applyFill="1" applyBorder="1" applyAlignment="1">
      <alignment vertical="top"/>
    </xf>
    <xf numFmtId="3" fontId="6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 indent="6"/>
    </xf>
    <xf numFmtId="0" fontId="10" fillId="3" borderId="18" xfId="0" applyFont="1" applyFill="1" applyBorder="1" applyAlignment="1">
      <alignment horizontal="left" vertical="top" wrapText="1" indent="6"/>
    </xf>
    <xf numFmtId="3" fontId="6" fillId="0" borderId="0" xfId="0" applyNumberFormat="1" applyFont="1" applyFill="1" applyBorder="1" applyAlignment="1">
      <alignment vertical="top"/>
    </xf>
    <xf numFmtId="0" fontId="6" fillId="0" borderId="16" xfId="0" applyFont="1" applyFill="1" applyBorder="1" applyAlignment="1">
      <alignment horizontal="left" vertical="top" wrapText="1" indent="6"/>
    </xf>
    <xf numFmtId="3" fontId="8" fillId="0" borderId="7" xfId="0" applyNumberFormat="1" applyFont="1" applyFill="1" applyBorder="1" applyAlignment="1">
      <alignment horizontal="center" vertical="top"/>
    </xf>
    <xf numFmtId="169" fontId="8" fillId="0" borderId="0" xfId="0" applyNumberFormat="1" applyFont="1" applyFill="1" applyBorder="1"/>
    <xf numFmtId="0" fontId="8" fillId="6" borderId="1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10" fillId="0" borderId="18" xfId="0" applyFont="1" applyFill="1" applyBorder="1" applyAlignment="1">
      <alignment horizontal="left" vertical="top" wrapText="1" indent="6"/>
    </xf>
    <xf numFmtId="1" fontId="10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3" fontId="29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3" fontId="8" fillId="0" borderId="2" xfId="0" applyNumberFormat="1" applyFont="1" applyFill="1" applyBorder="1" applyAlignment="1">
      <alignment vertical="top"/>
    </xf>
    <xf numFmtId="3" fontId="8" fillId="0" borderId="18" xfId="0" applyNumberFormat="1" applyFont="1" applyFill="1" applyBorder="1" applyAlignment="1">
      <alignment vertical="top"/>
    </xf>
    <xf numFmtId="2" fontId="8" fillId="0" borderId="0" xfId="0" applyNumberFormat="1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3" fontId="29" fillId="0" borderId="0" xfId="0" applyNumberFormat="1" applyFont="1" applyFill="1" applyBorder="1" applyAlignment="1">
      <alignment vertical="top"/>
    </xf>
    <xf numFmtId="0" fontId="30" fillId="0" borderId="0" xfId="0" applyFont="1" applyFill="1"/>
    <xf numFmtId="0" fontId="31" fillId="0" borderId="0" xfId="0" applyFont="1" applyFill="1"/>
    <xf numFmtId="1" fontId="6" fillId="5" borderId="0" xfId="0" applyNumberFormat="1" applyFont="1" applyFill="1" applyBorder="1" applyAlignment="1">
      <alignment vertical="top"/>
    </xf>
    <xf numFmtId="1" fontId="6" fillId="0" borderId="0" xfId="0" applyNumberFormat="1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 wrapText="1" indent="6"/>
    </xf>
    <xf numFmtId="0" fontId="6" fillId="3" borderId="0" xfId="0" applyFont="1" applyFill="1" applyAlignment="1">
      <alignment vertical="top" wrapText="1"/>
    </xf>
    <xf numFmtId="49" fontId="32" fillId="0" borderId="0" xfId="0" applyNumberFormat="1" applyFont="1" applyFill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FF"/>
      <color rgb="FF000099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89"/>
  <sheetViews>
    <sheetView showGridLines="0" tabSelected="1" view="pageBreakPreview" topLeftCell="A39" zoomScale="70" zoomScaleNormal="80" zoomScaleSheetLayoutView="70" workbookViewId="0">
      <selection activeCell="F2" sqref="F2"/>
    </sheetView>
  </sheetViews>
  <sheetFormatPr defaultRowHeight="12.75" x14ac:dyDescent="0.2"/>
  <cols>
    <col min="1" max="1" width="5.85546875" style="6" bestFit="1" customWidth="1"/>
    <col min="2" max="2" width="64" style="6" bestFit="1" customWidth="1"/>
    <col min="3" max="3" width="16.140625" style="6" customWidth="1"/>
    <col min="4" max="4" width="16" style="136" bestFit="1" customWidth="1"/>
    <col min="5" max="7" width="15.42578125" style="136" bestFit="1" customWidth="1"/>
    <col min="8" max="8" width="18.42578125" style="136" customWidth="1"/>
    <col min="9" max="9" width="9.42578125" style="136" bestFit="1" customWidth="1"/>
    <col min="10" max="16384" width="9.140625" style="6"/>
  </cols>
  <sheetData>
    <row r="1" spans="2:10" x14ac:dyDescent="0.2">
      <c r="B1" s="1" t="s">
        <v>107</v>
      </c>
      <c r="C1" s="21"/>
      <c r="D1" s="22"/>
      <c r="H1" s="22"/>
      <c r="I1" s="6"/>
    </row>
    <row r="2" spans="2:10" x14ac:dyDescent="0.2">
      <c r="B2" s="156" t="s">
        <v>108</v>
      </c>
      <c r="C2" s="427" t="s">
        <v>58</v>
      </c>
      <c r="D2" s="21"/>
      <c r="E2" s="21"/>
      <c r="F2" s="21"/>
      <c r="G2" s="21"/>
      <c r="H2" s="21"/>
      <c r="I2" s="6"/>
    </row>
    <row r="3" spans="2:10" s="4" customFormat="1" x14ac:dyDescent="0.2">
      <c r="B3" s="158"/>
      <c r="C3" s="3"/>
    </row>
    <row r="4" spans="2:10" x14ac:dyDescent="0.2">
      <c r="B4" s="233" t="s">
        <v>111</v>
      </c>
      <c r="C4" s="234"/>
      <c r="D4" s="234"/>
      <c r="E4" s="234"/>
      <c r="F4" s="234"/>
      <c r="G4" s="234"/>
      <c r="H4" s="234"/>
      <c r="I4" s="6"/>
    </row>
    <row r="5" spans="2:10" x14ac:dyDescent="0.2">
      <c r="B5" s="245" t="s">
        <v>34</v>
      </c>
      <c r="C5" s="246"/>
      <c r="D5" s="363" t="s">
        <v>7</v>
      </c>
      <c r="E5" s="364"/>
      <c r="F5" s="247" t="s">
        <v>4</v>
      </c>
      <c r="G5" s="249" t="s">
        <v>4</v>
      </c>
      <c r="H5" s="248" t="s">
        <v>4</v>
      </c>
      <c r="I5" s="6"/>
    </row>
    <row r="6" spans="2:10" ht="51" x14ac:dyDescent="0.2">
      <c r="B6" s="245"/>
      <c r="C6" s="246"/>
      <c r="D6" s="365" t="s">
        <v>8</v>
      </c>
      <c r="E6" s="366"/>
      <c r="F6" s="250" t="s">
        <v>9</v>
      </c>
      <c r="G6" s="252" t="s">
        <v>110</v>
      </c>
      <c r="H6" s="251" t="s">
        <v>8</v>
      </c>
      <c r="I6" s="6"/>
    </row>
    <row r="7" spans="2:10" x14ac:dyDescent="0.2">
      <c r="B7" s="232" t="s">
        <v>35</v>
      </c>
      <c r="D7" s="161" t="s">
        <v>5</v>
      </c>
      <c r="E7" s="159" t="s">
        <v>6</v>
      </c>
      <c r="F7" s="160" t="s">
        <v>6</v>
      </c>
      <c r="G7" s="162" t="s">
        <v>5</v>
      </c>
      <c r="H7" s="159" t="s">
        <v>5</v>
      </c>
      <c r="I7" s="6"/>
    </row>
    <row r="8" spans="2:10" x14ac:dyDescent="0.2">
      <c r="B8" s="216" t="s">
        <v>22</v>
      </c>
      <c r="D8" s="166">
        <v>29845130.209102999</v>
      </c>
      <c r="E8" s="167">
        <v>78539816.339744806</v>
      </c>
      <c r="F8" s="165">
        <v>94247779.607693806</v>
      </c>
      <c r="G8" s="226">
        <f>D8*(1+G20)</f>
        <v>35515704.948832564</v>
      </c>
      <c r="H8" s="164">
        <v>36128315.516282603</v>
      </c>
      <c r="I8" s="98"/>
      <c r="J8" s="99"/>
    </row>
    <row r="9" spans="2:10" x14ac:dyDescent="0.2">
      <c r="B9" s="100" t="s">
        <v>1</v>
      </c>
      <c r="D9" s="102">
        <v>11639600.781550201</v>
      </c>
      <c r="E9" s="103">
        <v>29845130.209102999</v>
      </c>
      <c r="F9" s="101">
        <f>F8-F8*F18</f>
        <v>36756634.047000587</v>
      </c>
      <c r="G9" s="104">
        <f>G8-G8*G18</f>
        <v>14200553.64002515</v>
      </c>
      <c r="H9" s="168">
        <v>14137166.9411541</v>
      </c>
      <c r="I9" s="98"/>
    </row>
    <row r="10" spans="2:10" x14ac:dyDescent="0.2">
      <c r="B10" s="100" t="s">
        <v>2</v>
      </c>
      <c r="D10" s="102">
        <f>SUM(D11:D12)</f>
        <v>14545573.986120731</v>
      </c>
      <c r="E10" s="103">
        <f>SUM(E11:E12)</f>
        <v>38170350.74111598</v>
      </c>
      <c r="F10" s="101">
        <f>SUM(F11:F12)</f>
        <v>43473359.140375599</v>
      </c>
      <c r="G10" s="104">
        <f>SUM(G11:G12)</f>
        <v>16781445.477680583</v>
      </c>
      <c r="H10" s="35">
        <f>SUM(H11:H12)</f>
        <v>17278759.5947439</v>
      </c>
      <c r="I10" s="98"/>
    </row>
    <row r="11" spans="2:10" x14ac:dyDescent="0.2">
      <c r="B11" s="163" t="s">
        <v>38</v>
      </c>
      <c r="D11" s="106">
        <f>D17*D8</f>
        <v>10147344.271095021</v>
      </c>
      <c r="E11" s="107">
        <f>E17*E8</f>
        <v>27488935.718910679</v>
      </c>
      <c r="F11" s="105">
        <f>F17*F8</f>
        <v>32044245.066615898</v>
      </c>
      <c r="G11" s="108">
        <f>G8*G17</f>
        <v>12075339.682603072</v>
      </c>
      <c r="H11" s="169">
        <v>12566370.6143592</v>
      </c>
      <c r="I11" s="98"/>
    </row>
    <row r="12" spans="2:10" x14ac:dyDescent="0.2">
      <c r="B12" s="163" t="s">
        <v>19</v>
      </c>
      <c r="D12" s="106">
        <v>4398229.7150257099</v>
      </c>
      <c r="E12" s="107">
        <v>10681415.022205301</v>
      </c>
      <c r="F12" s="105">
        <v>11429114.073759699</v>
      </c>
      <c r="G12" s="108">
        <f>D12*(1+G21)</f>
        <v>4706105.7950775102</v>
      </c>
      <c r="H12" s="169">
        <v>4712388.9803847</v>
      </c>
      <c r="I12" s="98"/>
      <c r="J12" s="99"/>
    </row>
    <row r="13" spans="2:10" x14ac:dyDescent="0.2">
      <c r="B13" s="211" t="s">
        <v>3</v>
      </c>
      <c r="D13" s="214">
        <f>D8-SUM(D9:D10)</f>
        <v>3659955.44143207</v>
      </c>
      <c r="E13" s="215">
        <f>E8-SUM(E9:E10)</f>
        <v>10524335.389525831</v>
      </c>
      <c r="F13" s="213">
        <f>F8-SUM(F9:F10)</f>
        <v>14017786.42031762</v>
      </c>
      <c r="G13" s="226">
        <f>G8-SUM(G9:G10)</f>
        <v>4533705.8311268315</v>
      </c>
      <c r="H13" s="212">
        <f>H8-SUM(H9:H10)</f>
        <v>4712388.9803846031</v>
      </c>
      <c r="I13" s="98"/>
    </row>
    <row r="14" spans="2:10" x14ac:dyDescent="0.2">
      <c r="B14" s="109" t="s">
        <v>33</v>
      </c>
      <c r="D14" s="111">
        <f>D13/D8</f>
        <v>0.12263157894736726</v>
      </c>
      <c r="E14" s="112">
        <f>E13/E8</f>
        <v>0.13400000000000034</v>
      </c>
      <c r="F14" s="110">
        <f>F13/F8</f>
        <v>0.14873333333333291</v>
      </c>
      <c r="G14" s="113">
        <f>G13/G8</f>
        <v>0.12765355038449994</v>
      </c>
      <c r="H14" s="43">
        <f>H13/H8</f>
        <v>0.13043478260869332</v>
      </c>
      <c r="I14" s="114"/>
    </row>
    <row r="15" spans="2:10" x14ac:dyDescent="0.2">
      <c r="B15" s="23"/>
      <c r="D15" s="117"/>
      <c r="E15" s="118"/>
      <c r="F15" s="116"/>
      <c r="G15" s="119"/>
      <c r="H15" s="115"/>
      <c r="I15" s="114"/>
    </row>
    <row r="16" spans="2:10" x14ac:dyDescent="0.2">
      <c r="B16" s="120" t="s">
        <v>10</v>
      </c>
      <c r="D16" s="121"/>
      <c r="E16" s="122"/>
      <c r="F16" s="50"/>
      <c r="G16" s="123"/>
      <c r="H16" s="24"/>
      <c r="I16" s="6"/>
    </row>
    <row r="17" spans="2:9" x14ac:dyDescent="0.2">
      <c r="B17" s="1" t="s">
        <v>49</v>
      </c>
      <c r="D17" s="126">
        <v>0.34</v>
      </c>
      <c r="E17" s="127">
        <v>0.35</v>
      </c>
      <c r="F17" s="222">
        <v>0.34</v>
      </c>
      <c r="G17" s="128">
        <f>F17</f>
        <v>0.34</v>
      </c>
      <c r="H17" s="124">
        <f>H11/H8</f>
        <v>0.34782608695652267</v>
      </c>
      <c r="I17" s="99"/>
    </row>
    <row r="18" spans="2:9" x14ac:dyDescent="0.2">
      <c r="B18" s="1" t="s">
        <v>52</v>
      </c>
      <c r="D18" s="126">
        <v>0.61</v>
      </c>
      <c r="E18" s="127">
        <v>0.62</v>
      </c>
      <c r="F18" s="222">
        <v>0.61</v>
      </c>
      <c r="G18" s="128">
        <f>F18*G19</f>
        <v>0.60016129032258059</v>
      </c>
      <c r="H18" s="124">
        <f>(H8-H9)/H8</f>
        <v>0.60869565217391197</v>
      </c>
      <c r="I18" s="99"/>
    </row>
    <row r="19" spans="2:9" x14ac:dyDescent="0.2">
      <c r="B19" s="1" t="s">
        <v>53</v>
      </c>
      <c r="D19" s="126"/>
      <c r="E19" s="127"/>
      <c r="F19" s="125"/>
      <c r="G19" s="128">
        <f>D18/E18</f>
        <v>0.9838709677419355</v>
      </c>
      <c r="H19" s="129"/>
      <c r="I19" s="99"/>
    </row>
    <row r="20" spans="2:9" x14ac:dyDescent="0.2">
      <c r="B20" s="1" t="s">
        <v>11</v>
      </c>
      <c r="D20" s="131"/>
      <c r="E20" s="132"/>
      <c r="F20" s="221">
        <v>0.2</v>
      </c>
      <c r="G20" s="135">
        <f>F20*E22</f>
        <v>0.19</v>
      </c>
      <c r="H20" s="130"/>
      <c r="I20" s="6"/>
    </row>
    <row r="21" spans="2:9" x14ac:dyDescent="0.2">
      <c r="B21" s="1" t="s">
        <v>50</v>
      </c>
      <c r="D21" s="131"/>
      <c r="E21" s="132"/>
      <c r="F21" s="221">
        <v>7.0000000000000007E-2</v>
      </c>
      <c r="G21" s="220">
        <f>F21</f>
        <v>7.0000000000000007E-2</v>
      </c>
      <c r="H21" s="130"/>
      <c r="I21" s="6"/>
    </row>
    <row r="22" spans="2:9" x14ac:dyDescent="0.2">
      <c r="B22" s="1" t="s">
        <v>12</v>
      </c>
      <c r="D22" s="131"/>
      <c r="E22" s="223">
        <v>0.95</v>
      </c>
      <c r="F22" s="134"/>
      <c r="G22" s="6"/>
      <c r="H22" s="130"/>
      <c r="I22" s="6"/>
    </row>
    <row r="23" spans="2:9" x14ac:dyDescent="0.2">
      <c r="B23" s="1" t="s">
        <v>44</v>
      </c>
      <c r="D23" s="131"/>
      <c r="E23" s="132"/>
      <c r="F23" s="134"/>
      <c r="G23" s="133"/>
      <c r="H23" s="130"/>
      <c r="I23" s="6"/>
    </row>
    <row r="26" spans="2:9" ht="15" x14ac:dyDescent="0.25">
      <c r="B26" s="233" t="s">
        <v>25</v>
      </c>
      <c r="C26" s="235"/>
      <c r="D26" s="236"/>
      <c r="E26" s="237"/>
      <c r="F26" s="237"/>
      <c r="G26" s="237"/>
      <c r="H26" s="235"/>
      <c r="I26" s="6"/>
    </row>
    <row r="27" spans="2:9" ht="8.25" customHeight="1" x14ac:dyDescent="0.2">
      <c r="B27" s="246"/>
      <c r="C27" s="246"/>
      <c r="D27" s="253"/>
      <c r="E27" s="254"/>
      <c r="F27" s="255"/>
      <c r="G27" s="246"/>
      <c r="H27" s="246"/>
      <c r="I27" s="6"/>
    </row>
    <row r="28" spans="2:9" x14ac:dyDescent="0.2">
      <c r="B28" s="245" t="s">
        <v>34</v>
      </c>
      <c r="C28" s="355" t="s">
        <v>13</v>
      </c>
      <c r="D28" s="256" t="s">
        <v>14</v>
      </c>
      <c r="E28" s="357" t="s">
        <v>39</v>
      </c>
      <c r="F28" s="358"/>
      <c r="G28" s="359" t="s">
        <v>17</v>
      </c>
      <c r="H28" s="361" t="s">
        <v>18</v>
      </c>
      <c r="I28" s="6"/>
    </row>
    <row r="29" spans="2:9" x14ac:dyDescent="0.2">
      <c r="B29" s="264" t="s">
        <v>35</v>
      </c>
      <c r="C29" s="356"/>
      <c r="D29" s="257" t="s">
        <v>36</v>
      </c>
      <c r="E29" s="258" t="s">
        <v>15</v>
      </c>
      <c r="F29" s="259" t="s">
        <v>16</v>
      </c>
      <c r="G29" s="360"/>
      <c r="H29" s="362"/>
      <c r="I29" s="6"/>
    </row>
    <row r="30" spans="2:9" x14ac:dyDescent="0.2">
      <c r="B30" s="44" t="s">
        <v>24</v>
      </c>
      <c r="C30" s="45"/>
      <c r="D30" s="46"/>
      <c r="E30" s="181"/>
      <c r="F30" s="182"/>
      <c r="G30" s="48"/>
      <c r="H30" s="45"/>
      <c r="I30" s="6"/>
    </row>
    <row r="31" spans="2:9" x14ac:dyDescent="0.2">
      <c r="B31" s="49" t="s">
        <v>22</v>
      </c>
      <c r="C31" s="51">
        <f>D31+G31+H31</f>
        <v>35515704.948832572</v>
      </c>
      <c r="D31" s="52">
        <f>E31+F31</f>
        <v>18064157.75814129</v>
      </c>
      <c r="E31" s="170">
        <v>5623450.8499257239</v>
      </c>
      <c r="F31" s="183">
        <v>12440706.908215567</v>
      </c>
      <c r="G31" s="198">
        <v>6796835.7060415102</v>
      </c>
      <c r="H31" s="170">
        <v>10654711.484649768</v>
      </c>
      <c r="I31" s="34"/>
    </row>
    <row r="32" spans="2:9" x14ac:dyDescent="0.2">
      <c r="B32" s="53" t="s">
        <v>1</v>
      </c>
      <c r="C32" s="51">
        <f t="shared" ref="C32:C36" si="0">D32+G32+H32</f>
        <v>14200553.640025135</v>
      </c>
      <c r="D32" s="52">
        <f>E32+F32</f>
        <v>6676952.5303805247</v>
      </c>
      <c r="E32" s="171">
        <v>2077668.7395067054</v>
      </c>
      <c r="F32" s="184">
        <v>4599283.790873819</v>
      </c>
      <c r="G32" s="198">
        <v>2983319.2157019363</v>
      </c>
      <c r="H32" s="170">
        <v>4540281.8939426746</v>
      </c>
      <c r="I32" s="34"/>
    </row>
    <row r="33" spans="2:9" x14ac:dyDescent="0.2">
      <c r="B33" s="53" t="s">
        <v>2</v>
      </c>
      <c r="C33" s="51">
        <f t="shared" si="0"/>
        <v>16781445.477680583</v>
      </c>
      <c r="D33" s="52">
        <f>D34+D35</f>
        <v>8468469.3030350022</v>
      </c>
      <c r="E33" s="185">
        <f>E34+E35</f>
        <v>2857584.8237236389</v>
      </c>
      <c r="F33" s="186">
        <f>F34+F35</f>
        <v>5610884.4793113638</v>
      </c>
      <c r="G33" s="54">
        <f>G34+G35</f>
        <v>3742736.4078541966</v>
      </c>
      <c r="H33" s="55">
        <f>H34+H35</f>
        <v>4570239.7667913837</v>
      </c>
      <c r="I33" s="6"/>
    </row>
    <row r="34" spans="2:9" x14ac:dyDescent="0.2">
      <c r="B34" s="155" t="s">
        <v>38</v>
      </c>
      <c r="C34" s="56">
        <f t="shared" si="0"/>
        <v>12075339.682603076</v>
      </c>
      <c r="D34" s="57">
        <f>E34+F34</f>
        <v>6112274.8128426606</v>
      </c>
      <c r="E34" s="172">
        <v>1758027.3949672123</v>
      </c>
      <c r="F34" s="187">
        <v>4354247.4178754482</v>
      </c>
      <c r="G34" s="199">
        <v>2486099.3464182806</v>
      </c>
      <c r="H34" s="173">
        <v>3476965.523342134</v>
      </c>
      <c r="I34" s="34"/>
    </row>
    <row r="35" spans="2:9" x14ac:dyDescent="0.2">
      <c r="B35" s="155" t="s">
        <v>19</v>
      </c>
      <c r="C35" s="56">
        <f t="shared" si="0"/>
        <v>4706105.7950775083</v>
      </c>
      <c r="D35" s="57">
        <f>E35+F35</f>
        <v>2356194.4901923425</v>
      </c>
      <c r="E35" s="172">
        <v>1099557.4287564266</v>
      </c>
      <c r="F35" s="187">
        <v>1256637.061435916</v>
      </c>
      <c r="G35" s="199">
        <v>1256637.061435916</v>
      </c>
      <c r="H35" s="173">
        <v>1093274.24344925</v>
      </c>
      <c r="I35" s="34"/>
    </row>
    <row r="36" spans="2:9" x14ac:dyDescent="0.2">
      <c r="B36" s="49" t="s">
        <v>3</v>
      </c>
      <c r="C36" s="51">
        <f t="shared" si="0"/>
        <v>4533705.8311268501</v>
      </c>
      <c r="D36" s="52">
        <f>D31-D32-D33</f>
        <v>2918735.9247257635</v>
      </c>
      <c r="E36" s="188">
        <f>E31-E32-E33</f>
        <v>688197.2866953793</v>
      </c>
      <c r="F36" s="177">
        <f>F31-F32-F33</f>
        <v>2230538.6380303847</v>
      </c>
      <c r="G36" s="54">
        <f>G31-G32-G33</f>
        <v>70780.082485377323</v>
      </c>
      <c r="H36" s="55">
        <f>H31-H32-H33</f>
        <v>1544189.8239157097</v>
      </c>
      <c r="I36" s="6"/>
    </row>
    <row r="37" spans="2:9" x14ac:dyDescent="0.2">
      <c r="B37" s="58" t="s">
        <v>33</v>
      </c>
      <c r="C37" s="59">
        <f t="shared" ref="C37:H37" si="1">C36/C31</f>
        <v>0.12765355038450044</v>
      </c>
      <c r="D37" s="60">
        <f t="shared" si="1"/>
        <v>0.1615760869565217</v>
      </c>
      <c r="E37" s="189">
        <f t="shared" si="1"/>
        <v>0.12237988826815641</v>
      </c>
      <c r="F37" s="178">
        <f t="shared" si="1"/>
        <v>0.17929356060606061</v>
      </c>
      <c r="G37" s="61">
        <f t="shared" si="1"/>
        <v>1.0413681534550403E-2</v>
      </c>
      <c r="H37" s="59">
        <f t="shared" si="1"/>
        <v>0.14493023355352441</v>
      </c>
      <c r="I37" s="6"/>
    </row>
    <row r="38" spans="2:9" x14ac:dyDescent="0.2">
      <c r="B38" s="26" t="s">
        <v>23</v>
      </c>
      <c r="C38" s="27"/>
      <c r="D38" s="28"/>
      <c r="E38" s="190"/>
      <c r="F38" s="191"/>
      <c r="G38" s="29"/>
      <c r="H38" s="27"/>
      <c r="I38" s="6"/>
    </row>
    <row r="39" spans="2:9" x14ac:dyDescent="0.2">
      <c r="B39" s="31" t="s">
        <v>22</v>
      </c>
      <c r="C39" s="32">
        <f t="shared" ref="C39:C44" si="2">D39+G39+H39</f>
        <v>36128315.516282611</v>
      </c>
      <c r="D39" s="33">
        <f>SUM(E39:F39)</f>
        <v>18064157.75814132</v>
      </c>
      <c r="E39" s="167">
        <v>7225663.1032565199</v>
      </c>
      <c r="F39" s="192">
        <v>10838494.6548848</v>
      </c>
      <c r="G39" s="200">
        <v>10838494.654884776</v>
      </c>
      <c r="H39" s="167">
        <v>7225663.1032565171</v>
      </c>
      <c r="I39" s="6"/>
    </row>
    <row r="40" spans="2:9" x14ac:dyDescent="0.2">
      <c r="B40" s="25" t="s">
        <v>1</v>
      </c>
      <c r="C40" s="32">
        <f t="shared" si="2"/>
        <v>14136796.422224389</v>
      </c>
      <c r="D40" s="33">
        <f>SUM(E40:F40)</f>
        <v>6676582.0114508597</v>
      </c>
      <c r="E40" s="174">
        <v>2669630.2239471599</v>
      </c>
      <c r="F40" s="193">
        <v>4006951.7875036998</v>
      </c>
      <c r="G40" s="200">
        <v>4053157.177955403</v>
      </c>
      <c r="H40" s="167">
        <v>3407057.2328181271</v>
      </c>
      <c r="I40" s="34"/>
    </row>
    <row r="41" spans="2:9" x14ac:dyDescent="0.2">
      <c r="B41" s="25" t="s">
        <v>2</v>
      </c>
      <c r="C41" s="32">
        <f t="shared" si="2"/>
        <v>17278759.594743859</v>
      </c>
      <c r="D41" s="33">
        <f>SUM(D42:D43)</f>
        <v>8722744.7665624544</v>
      </c>
      <c r="E41" s="103">
        <f>SUM(E42:E43)</f>
        <v>3515554.9432373699</v>
      </c>
      <c r="F41" s="194">
        <f>SUM(F42:F43)</f>
        <v>5207189.8233250855</v>
      </c>
      <c r="G41" s="36">
        <f>SUM(G42:G43)</f>
        <v>5001415.5045149457</v>
      </c>
      <c r="H41" s="32">
        <f>SUM(H42:H43)</f>
        <v>3554599.3236664589</v>
      </c>
      <c r="I41" s="6"/>
    </row>
    <row r="42" spans="2:9" x14ac:dyDescent="0.2">
      <c r="B42" s="37" t="s">
        <v>38</v>
      </c>
      <c r="C42" s="38">
        <f t="shared" si="2"/>
        <v>12566370.614359172</v>
      </c>
      <c r="D42" s="39">
        <f>SUM(E42:F42)</f>
        <v>6052391.0110111302</v>
      </c>
      <c r="E42" s="175">
        <v>2258917.8818014502</v>
      </c>
      <c r="F42" s="195">
        <v>3793473.12920968</v>
      </c>
      <c r="G42" s="201">
        <v>3901858.0757585191</v>
      </c>
      <c r="H42" s="176">
        <v>2612121.5275895218</v>
      </c>
      <c r="I42" s="34"/>
    </row>
    <row r="43" spans="2:9" x14ac:dyDescent="0.2">
      <c r="B43" s="37" t="s">
        <v>19</v>
      </c>
      <c r="C43" s="38">
        <f t="shared" si="2"/>
        <v>4712388.9803846888</v>
      </c>
      <c r="D43" s="39">
        <f>SUM(E43:F43)</f>
        <v>2670353.7555513252</v>
      </c>
      <c r="E43" s="175">
        <v>1256637.06143592</v>
      </c>
      <c r="F43" s="195">
        <v>1413716.6941154054</v>
      </c>
      <c r="G43" s="201">
        <v>1099557.4287564266</v>
      </c>
      <c r="H43" s="176">
        <v>942477.796076937</v>
      </c>
      <c r="I43" s="34"/>
    </row>
    <row r="44" spans="2:9" x14ac:dyDescent="0.2">
      <c r="B44" s="31" t="s">
        <v>3</v>
      </c>
      <c r="C44" s="32">
        <f t="shared" si="2"/>
        <v>4712759.499314364</v>
      </c>
      <c r="D44" s="33">
        <f>D39-D40-D41</f>
        <v>2664830.9801280051</v>
      </c>
      <c r="E44" s="196">
        <f>E39-E40-E41</f>
        <v>1040477.9360719901</v>
      </c>
      <c r="F44" s="179">
        <f>F39-F40-F41</f>
        <v>1624353.0440560151</v>
      </c>
      <c r="G44" s="36">
        <f>G39-G40-G41</f>
        <v>1783921.9724144274</v>
      </c>
      <c r="H44" s="32">
        <f>H39-H40-H41</f>
        <v>264006.546771931</v>
      </c>
      <c r="I44" s="6"/>
    </row>
    <row r="45" spans="2:9" x14ac:dyDescent="0.2">
      <c r="B45" s="30" t="s">
        <v>33</v>
      </c>
      <c r="C45" s="40">
        <f t="shared" ref="C45:H45" si="3">C44/C39</f>
        <v>0.13044503824681164</v>
      </c>
      <c r="D45" s="41">
        <f t="shared" si="3"/>
        <v>0.14752035582323203</v>
      </c>
      <c r="E45" s="197">
        <f t="shared" si="3"/>
        <v>0.1439975710468786</v>
      </c>
      <c r="F45" s="180">
        <f t="shared" si="3"/>
        <v>0.14986887900746765</v>
      </c>
      <c r="G45" s="42">
        <f t="shared" si="3"/>
        <v>0.16459130434782618</v>
      </c>
      <c r="H45" s="40">
        <f t="shared" si="3"/>
        <v>3.6537345154238718E-2</v>
      </c>
      <c r="I45" s="6"/>
    </row>
    <row r="46" spans="2:9" x14ac:dyDescent="0.2">
      <c r="B46" s="30"/>
      <c r="C46" s="40"/>
      <c r="D46" s="197"/>
      <c r="E46" s="197"/>
      <c r="F46" s="197"/>
      <c r="G46" s="197"/>
      <c r="H46" s="40"/>
      <c r="I46" s="6"/>
    </row>
    <row r="47" spans="2:9" x14ac:dyDescent="0.2">
      <c r="D47" s="6"/>
      <c r="E47" s="6"/>
      <c r="F47" s="6"/>
      <c r="G47" s="6"/>
      <c r="H47" s="6"/>
      <c r="I47" s="6"/>
    </row>
    <row r="48" spans="2:9" x14ac:dyDescent="0.2">
      <c r="B48" s="233" t="s">
        <v>109</v>
      </c>
      <c r="C48" s="235"/>
      <c r="D48" s="235"/>
      <c r="E48" s="235"/>
      <c r="F48" s="235"/>
      <c r="G48" s="235"/>
      <c r="H48" s="235"/>
      <c r="I48" s="6"/>
    </row>
    <row r="49" spans="1:9" x14ac:dyDescent="0.2">
      <c r="B49" s="245" t="s">
        <v>34</v>
      </c>
      <c r="C49" s="355" t="s">
        <v>13</v>
      </c>
      <c r="D49" s="256" t="s">
        <v>14</v>
      </c>
      <c r="E49" s="357" t="s">
        <v>39</v>
      </c>
      <c r="F49" s="357"/>
      <c r="G49" s="359" t="s">
        <v>17</v>
      </c>
      <c r="H49" s="361" t="s">
        <v>18</v>
      </c>
      <c r="I49" s="6"/>
    </row>
    <row r="50" spans="1:9" x14ac:dyDescent="0.2">
      <c r="A50" s="261">
        <v>1000</v>
      </c>
      <c r="B50" s="264" t="s">
        <v>37</v>
      </c>
      <c r="C50" s="356"/>
      <c r="D50" s="257" t="s">
        <v>36</v>
      </c>
      <c r="E50" s="258" t="s">
        <v>15</v>
      </c>
      <c r="F50" s="260" t="s">
        <v>16</v>
      </c>
      <c r="G50" s="360"/>
      <c r="H50" s="362"/>
      <c r="I50" s="6"/>
    </row>
    <row r="51" spans="1:9" x14ac:dyDescent="0.2">
      <c r="B51" s="44" t="s">
        <v>24</v>
      </c>
      <c r="C51" s="47"/>
      <c r="D51" s="47"/>
      <c r="E51" s="47"/>
      <c r="F51" s="47"/>
      <c r="G51" s="47"/>
      <c r="H51" s="47"/>
      <c r="I51" s="6"/>
    </row>
    <row r="52" spans="1:9" x14ac:dyDescent="0.2">
      <c r="B52" s="202" t="s">
        <v>3</v>
      </c>
      <c r="C52" s="203">
        <f t="shared" ref="C52:H52" si="4">C36/$A$50</f>
        <v>4533.7058311268502</v>
      </c>
      <c r="D52" s="204">
        <f t="shared" si="4"/>
        <v>2918.7359247257637</v>
      </c>
      <c r="E52" s="203">
        <f t="shared" si="4"/>
        <v>688.19728669537926</v>
      </c>
      <c r="F52" s="203">
        <f t="shared" si="4"/>
        <v>2230.5386380303848</v>
      </c>
      <c r="G52" s="205">
        <f t="shared" si="4"/>
        <v>70.780082485377321</v>
      </c>
      <c r="H52" s="203">
        <f t="shared" si="4"/>
        <v>1544.1898239157097</v>
      </c>
      <c r="I52" s="6"/>
    </row>
    <row r="53" spans="1:9" x14ac:dyDescent="0.2">
      <c r="B53" s="68" t="s">
        <v>0</v>
      </c>
      <c r="C53" s="69">
        <f t="shared" ref="C53:H53" si="5">C31/$A$50</f>
        <v>35515.704948832572</v>
      </c>
      <c r="D53" s="70">
        <f t="shared" si="5"/>
        <v>18064.157758141289</v>
      </c>
      <c r="E53" s="69">
        <f t="shared" si="5"/>
        <v>5623.4508499257236</v>
      </c>
      <c r="F53" s="69">
        <f t="shared" si="5"/>
        <v>12440.706908215567</v>
      </c>
      <c r="G53" s="71">
        <f t="shared" si="5"/>
        <v>6796.8357060415101</v>
      </c>
      <c r="H53" s="69">
        <f t="shared" si="5"/>
        <v>10654.711484649768</v>
      </c>
      <c r="I53" s="6"/>
    </row>
    <row r="54" spans="1:9" x14ac:dyDescent="0.2">
      <c r="B54" s="63" t="s">
        <v>48</v>
      </c>
      <c r="C54" s="72">
        <f t="shared" ref="C54:H54" si="6">C55-C56</f>
        <v>0.26016129032258112</v>
      </c>
      <c r="D54" s="73">
        <f t="shared" si="6"/>
        <v>0.29201086956521738</v>
      </c>
      <c r="E54" s="72">
        <f t="shared" si="6"/>
        <v>0.31791061452513969</v>
      </c>
      <c r="F54" s="72">
        <f t="shared" si="6"/>
        <v>0.2803036616161616</v>
      </c>
      <c r="G54" s="74">
        <f t="shared" si="6"/>
        <v>0.19529928356829201</v>
      </c>
      <c r="H54" s="72">
        <f t="shared" si="6"/>
        <v>0.24753969839209167</v>
      </c>
      <c r="I54" s="6"/>
    </row>
    <row r="55" spans="1:9" x14ac:dyDescent="0.2">
      <c r="B55" s="75" t="s">
        <v>54</v>
      </c>
      <c r="C55" s="76">
        <f t="shared" ref="C55:H55" si="7">(C31-C32)/C31</f>
        <v>0.60016129032258114</v>
      </c>
      <c r="D55" s="77">
        <f t="shared" si="7"/>
        <v>0.630375652173913</v>
      </c>
      <c r="E55" s="76">
        <f t="shared" si="7"/>
        <v>0.63053491620111735</v>
      </c>
      <c r="F55" s="76">
        <f t="shared" si="7"/>
        <v>0.63030366161616158</v>
      </c>
      <c r="G55" s="78">
        <f t="shared" si="7"/>
        <v>0.56107233649179566</v>
      </c>
      <c r="H55" s="76">
        <f t="shared" si="7"/>
        <v>0.57387096774193702</v>
      </c>
      <c r="I55" s="6"/>
    </row>
    <row r="56" spans="1:9" x14ac:dyDescent="0.2">
      <c r="B56" s="75" t="s">
        <v>51</v>
      </c>
      <c r="C56" s="76">
        <f t="shared" ref="C56:H56" si="8">C34/C31</f>
        <v>0.34</v>
      </c>
      <c r="D56" s="77">
        <f t="shared" si="8"/>
        <v>0.33836478260869562</v>
      </c>
      <c r="E56" s="76">
        <f t="shared" si="8"/>
        <v>0.31262430167597766</v>
      </c>
      <c r="F56" s="76">
        <f t="shared" si="8"/>
        <v>0.35</v>
      </c>
      <c r="G56" s="78">
        <f t="shared" si="8"/>
        <v>0.36577305292350365</v>
      </c>
      <c r="H56" s="76">
        <f t="shared" si="8"/>
        <v>0.32633126934984535</v>
      </c>
      <c r="I56" s="6"/>
    </row>
    <row r="57" spans="1:9" x14ac:dyDescent="0.2">
      <c r="B57" s="63" t="s">
        <v>20</v>
      </c>
      <c r="C57" s="64">
        <f t="shared" ref="C57:H57" si="9">C35/$A$50</f>
        <v>4706.1057950775084</v>
      </c>
      <c r="D57" s="66">
        <f t="shared" si="9"/>
        <v>2356.1944901923425</v>
      </c>
      <c r="E57" s="64">
        <f t="shared" si="9"/>
        <v>1099.5574287564266</v>
      </c>
      <c r="F57" s="64">
        <f t="shared" si="9"/>
        <v>1256.6370614359159</v>
      </c>
      <c r="G57" s="67">
        <f t="shared" si="9"/>
        <v>1256.6370614359159</v>
      </c>
      <c r="H57" s="64">
        <f t="shared" si="9"/>
        <v>1093.27424344925</v>
      </c>
      <c r="I57" s="6"/>
    </row>
    <row r="58" spans="1:9" x14ac:dyDescent="0.2">
      <c r="B58" s="26" t="s">
        <v>23</v>
      </c>
      <c r="C58" s="80"/>
      <c r="D58" s="80"/>
      <c r="E58" s="80"/>
      <c r="F58" s="80"/>
      <c r="G58" s="80"/>
      <c r="H58" s="80"/>
      <c r="I58" s="6"/>
    </row>
    <row r="59" spans="1:9" x14ac:dyDescent="0.2">
      <c r="B59" s="206" t="s">
        <v>3</v>
      </c>
      <c r="C59" s="207">
        <f t="shared" ref="C59:H59" si="10">C44/$A$50</f>
        <v>4712.7594993143639</v>
      </c>
      <c r="D59" s="208">
        <f t="shared" si="10"/>
        <v>2664.8309801280052</v>
      </c>
      <c r="E59" s="209">
        <f t="shared" si="10"/>
        <v>1040.4779360719901</v>
      </c>
      <c r="F59" s="209">
        <f t="shared" si="10"/>
        <v>1624.3530440560151</v>
      </c>
      <c r="G59" s="210">
        <f t="shared" si="10"/>
        <v>1783.9219724144275</v>
      </c>
      <c r="H59" s="209">
        <f t="shared" si="10"/>
        <v>264.00654677193097</v>
      </c>
      <c r="I59" s="6"/>
    </row>
    <row r="60" spans="1:9" x14ac:dyDescent="0.2">
      <c r="B60" s="82" t="s">
        <v>0</v>
      </c>
      <c r="C60" s="83">
        <f t="shared" ref="C60:H60" si="11">C39/$A$50</f>
        <v>36128.315516282608</v>
      </c>
      <c r="D60" s="84">
        <f t="shared" si="11"/>
        <v>18064.157758141318</v>
      </c>
      <c r="E60" s="83">
        <f t="shared" si="11"/>
        <v>7225.6631032565201</v>
      </c>
      <c r="F60" s="83">
        <f t="shared" si="11"/>
        <v>10838.4946548848</v>
      </c>
      <c r="G60" s="85">
        <f t="shared" si="11"/>
        <v>10838.494654884777</v>
      </c>
      <c r="H60" s="83">
        <f t="shared" si="11"/>
        <v>7225.6631032565174</v>
      </c>
      <c r="I60" s="6"/>
    </row>
    <row r="61" spans="1:9" x14ac:dyDescent="0.2">
      <c r="B61" s="81" t="s">
        <v>48</v>
      </c>
      <c r="C61" s="86">
        <f>C62-C63</f>
        <v>0.26087982085550721</v>
      </c>
      <c r="D61" s="87">
        <f t="shared" ref="D61:H61" si="12">D62-D63</f>
        <v>0.29534644277975369</v>
      </c>
      <c r="E61" s="86">
        <f t="shared" si="12"/>
        <v>0.31791061452513997</v>
      </c>
      <c r="F61" s="86">
        <f t="shared" si="12"/>
        <v>0.28030366161616305</v>
      </c>
      <c r="G61" s="88">
        <f t="shared" si="12"/>
        <v>0.26604057971014505</v>
      </c>
      <c r="H61" s="86">
        <f t="shared" si="12"/>
        <v>0.16697212776293441</v>
      </c>
      <c r="I61" s="6"/>
    </row>
    <row r="62" spans="1:9" x14ac:dyDescent="0.2">
      <c r="B62" s="89" t="s">
        <v>54</v>
      </c>
      <c r="C62" s="90">
        <f t="shared" ref="C62:H62" si="13">(C39-C40)/C39</f>
        <v>0.60870590781202905</v>
      </c>
      <c r="D62" s="91">
        <f t="shared" si="13"/>
        <v>0.63039616345014493</v>
      </c>
      <c r="E62" s="90">
        <f t="shared" si="13"/>
        <v>0.63053491620111801</v>
      </c>
      <c r="F62" s="90">
        <f t="shared" si="13"/>
        <v>0.63030366161616302</v>
      </c>
      <c r="G62" s="92">
        <f t="shared" si="13"/>
        <v>0.62604057971014504</v>
      </c>
      <c r="H62" s="90">
        <f t="shared" si="13"/>
        <v>0.52847826086956529</v>
      </c>
      <c r="I62" s="6"/>
    </row>
    <row r="63" spans="1:9" x14ac:dyDescent="0.2">
      <c r="B63" s="89" t="s">
        <v>51</v>
      </c>
      <c r="C63" s="90">
        <f>C42/C39</f>
        <v>0.34782608695652184</v>
      </c>
      <c r="D63" s="91">
        <f t="shared" ref="D63:H63" si="14">D42/D39</f>
        <v>0.33504972067039124</v>
      </c>
      <c r="E63" s="90">
        <f t="shared" si="14"/>
        <v>0.31262430167597804</v>
      </c>
      <c r="F63" s="90">
        <f t="shared" si="14"/>
        <v>0.35</v>
      </c>
      <c r="G63" s="92">
        <f t="shared" si="14"/>
        <v>0.36</v>
      </c>
      <c r="H63" s="90">
        <f t="shared" si="14"/>
        <v>0.36150613310663088</v>
      </c>
      <c r="I63" s="6"/>
    </row>
    <row r="64" spans="1:9" x14ac:dyDescent="0.2">
      <c r="B64" s="81" t="s">
        <v>20</v>
      </c>
      <c r="C64" s="93">
        <f t="shared" ref="C64:H64" si="15">C43/$A$50</f>
        <v>4712.3889803846887</v>
      </c>
      <c r="D64" s="94">
        <f t="shared" si="15"/>
        <v>2670.3537555513253</v>
      </c>
      <c r="E64" s="93">
        <f t="shared" si="15"/>
        <v>1256.63706143592</v>
      </c>
      <c r="F64" s="93">
        <f t="shared" si="15"/>
        <v>1413.7166941154055</v>
      </c>
      <c r="G64" s="95">
        <f t="shared" si="15"/>
        <v>1099.5574287564266</v>
      </c>
      <c r="H64" s="93">
        <f t="shared" si="15"/>
        <v>942.47779607693701</v>
      </c>
      <c r="I64" s="6"/>
    </row>
    <row r="65" spans="2:9" x14ac:dyDescent="0.2">
      <c r="C65" s="65"/>
      <c r="D65" s="96"/>
      <c r="E65" s="65"/>
      <c r="F65" s="65"/>
      <c r="G65" s="97"/>
      <c r="H65" s="65"/>
      <c r="I65" s="6"/>
    </row>
    <row r="66" spans="2:9" x14ac:dyDescent="0.2">
      <c r="D66" s="6"/>
      <c r="E66" s="6"/>
      <c r="F66" s="6"/>
      <c r="G66" s="6"/>
      <c r="H66" s="6"/>
      <c r="I66" s="6"/>
    </row>
    <row r="67" spans="2:9" x14ac:dyDescent="0.2">
      <c r="B67" s="233" t="s">
        <v>26</v>
      </c>
      <c r="C67" s="235"/>
      <c r="D67" s="238"/>
      <c r="E67" s="238"/>
      <c r="F67" s="238"/>
      <c r="G67" s="238"/>
      <c r="H67" s="238"/>
    </row>
    <row r="68" spans="2:9" x14ac:dyDescent="0.2">
      <c r="B68" s="245" t="s">
        <v>34</v>
      </c>
      <c r="C68" s="367" t="s">
        <v>13</v>
      </c>
      <c r="D68" s="262" t="s">
        <v>14</v>
      </c>
      <c r="E68" s="263" t="s">
        <v>39</v>
      </c>
      <c r="F68" s="263"/>
      <c r="G68" s="359" t="s">
        <v>17</v>
      </c>
      <c r="H68" s="361" t="s">
        <v>18</v>
      </c>
      <c r="I68" s="6"/>
    </row>
    <row r="69" spans="2:9" x14ac:dyDescent="0.2">
      <c r="B69" s="264" t="s">
        <v>37</v>
      </c>
      <c r="C69" s="368"/>
      <c r="D69" s="265" t="s">
        <v>36</v>
      </c>
      <c r="E69" s="260" t="s">
        <v>15</v>
      </c>
      <c r="F69" s="260" t="s">
        <v>16</v>
      </c>
      <c r="G69" s="360"/>
      <c r="H69" s="362"/>
      <c r="I69" s="6"/>
    </row>
    <row r="70" spans="2:9" x14ac:dyDescent="0.2">
      <c r="C70" s="137"/>
      <c r="D70" s="138"/>
      <c r="F70" s="139"/>
      <c r="G70" s="140"/>
      <c r="I70" s="6"/>
    </row>
    <row r="71" spans="2:9" x14ac:dyDescent="0.2">
      <c r="B71" s="62" t="s">
        <v>3</v>
      </c>
      <c r="C71" s="141">
        <f t="shared" ref="C71:H71" si="16">C59-C52</f>
        <v>179.05366818751372</v>
      </c>
      <c r="D71" s="142">
        <f t="shared" si="16"/>
        <v>-253.90494459775846</v>
      </c>
      <c r="E71" s="141">
        <f t="shared" si="16"/>
        <v>352.28064937661088</v>
      </c>
      <c r="F71" s="141">
        <f t="shared" si="16"/>
        <v>-606.18559397436979</v>
      </c>
      <c r="G71" s="143">
        <f t="shared" si="16"/>
        <v>1713.1418899290502</v>
      </c>
      <c r="H71" s="141">
        <f t="shared" si="16"/>
        <v>-1280.1832771437787</v>
      </c>
      <c r="I71" s="421" t="s">
        <v>21</v>
      </c>
    </row>
    <row r="72" spans="2:9" x14ac:dyDescent="0.2">
      <c r="B72" s="6" t="s">
        <v>0</v>
      </c>
      <c r="C72" s="141">
        <f t="shared" ref="C72:H72" si="17">(C60-C53)*C54</f>
        <v>159.37755569304994</v>
      </c>
      <c r="D72" s="145">
        <f t="shared" si="17"/>
        <v>8.4986348393494665E-12</v>
      </c>
      <c r="E72" s="144">
        <f t="shared" si="17"/>
        <v>509.36028205610233</v>
      </c>
      <c r="F72" s="144">
        <f t="shared" si="17"/>
        <v>-449.105961294895</v>
      </c>
      <c r="G72" s="146">
        <f t="shared" si="17"/>
        <v>789.33309713646611</v>
      </c>
      <c r="H72" s="144">
        <f t="shared" si="17"/>
        <v>-848.82560210197539</v>
      </c>
      <c r="I72" s="421" t="s">
        <v>27</v>
      </c>
    </row>
    <row r="73" spans="2:9" x14ac:dyDescent="0.2">
      <c r="B73" s="6" t="s">
        <v>57</v>
      </c>
      <c r="C73" s="141">
        <f t="shared" ref="C73:H73" si="18">(C61-C54)*C60</f>
        <v>25.959297801636367</v>
      </c>
      <c r="D73" s="145">
        <f t="shared" si="18"/>
        <v>60.25432076121453</v>
      </c>
      <c r="E73" s="144">
        <f t="shared" si="18"/>
        <v>2.0055243863549621E-12</v>
      </c>
      <c r="F73" s="144">
        <f t="shared" si="18"/>
        <v>1.5643090213568732E-11</v>
      </c>
      <c r="G73" s="146">
        <f t="shared" si="18"/>
        <v>766.72916011309519</v>
      </c>
      <c r="H73" s="144">
        <f t="shared" si="18"/>
        <v>-582.15412241411514</v>
      </c>
      <c r="I73" s="421" t="s">
        <v>27</v>
      </c>
    </row>
    <row r="74" spans="2:9" x14ac:dyDescent="0.2">
      <c r="B74" s="157" t="s">
        <v>56</v>
      </c>
      <c r="C74" s="147">
        <f t="shared" ref="C74:H74" si="19">(C62-C55)*C60</f>
        <v>308.70263662472041</v>
      </c>
      <c r="D74" s="149">
        <f t="shared" si="19"/>
        <v>0.37051892967434474</v>
      </c>
      <c r="E74" s="148">
        <f t="shared" si="19"/>
        <v>4.8132585272519091E-12</v>
      </c>
      <c r="F74" s="148">
        <f t="shared" si="19"/>
        <v>1.5643090213568732E-11</v>
      </c>
      <c r="G74" s="150">
        <f t="shared" si="19"/>
        <v>704.15795685933381</v>
      </c>
      <c r="H74" s="148">
        <f t="shared" si="19"/>
        <v>-327.99240720463501</v>
      </c>
      <c r="I74" s="422" t="s">
        <v>27</v>
      </c>
    </row>
    <row r="75" spans="2:9" x14ac:dyDescent="0.2">
      <c r="B75" s="157" t="s">
        <v>55</v>
      </c>
      <c r="C75" s="147">
        <f>-(C63-C56)*C60</f>
        <v>-282.74333882308406</v>
      </c>
      <c r="D75" s="149">
        <f t="shared" ref="D75:H75" si="20">-(D63-D56)*D60</f>
        <v>59.883801831540183</v>
      </c>
      <c r="E75" s="148">
        <f t="shared" si="20"/>
        <v>-2.807734140896947E-12</v>
      </c>
      <c r="F75" s="148">
        <f t="shared" si="20"/>
        <v>0</v>
      </c>
      <c r="G75" s="150">
        <f t="shared" si="20"/>
        <v>62.571203253761389</v>
      </c>
      <c r="H75" s="148">
        <f t="shared" si="20"/>
        <v>-254.16171520948009</v>
      </c>
      <c r="I75" s="422" t="s">
        <v>27</v>
      </c>
    </row>
    <row r="76" spans="2:9" x14ac:dyDescent="0.2">
      <c r="B76" s="6" t="s">
        <v>20</v>
      </c>
      <c r="C76" s="141">
        <f>-(C64-C57)</f>
        <v>-6.283185307180247</v>
      </c>
      <c r="D76" s="145">
        <f t="shared" ref="D76:H76" si="21">-(D64-D57)</f>
        <v>-314.15926535898279</v>
      </c>
      <c r="E76" s="144">
        <f t="shared" si="21"/>
        <v>-157.07963267949344</v>
      </c>
      <c r="F76" s="144">
        <f t="shared" si="21"/>
        <v>-157.07963267948958</v>
      </c>
      <c r="G76" s="146">
        <f t="shared" si="21"/>
        <v>157.07963267948935</v>
      </c>
      <c r="H76" s="145">
        <f t="shared" si="21"/>
        <v>150.79644737231297</v>
      </c>
      <c r="I76" s="421" t="s">
        <v>27</v>
      </c>
    </row>
    <row r="80" spans="2:9" x14ac:dyDescent="0.2">
      <c r="B80" s="224" t="s">
        <v>43</v>
      </c>
      <c r="C80" s="224"/>
      <c r="D80" s="224"/>
      <c r="E80" s="224"/>
      <c r="F80" s="224"/>
      <c r="G80" s="224"/>
      <c r="H80" s="224"/>
      <c r="I80" s="225"/>
    </row>
    <row r="81" spans="2:9" ht="36" customHeight="1" x14ac:dyDescent="0.2">
      <c r="B81" s="344" t="s">
        <v>47</v>
      </c>
      <c r="C81" s="344"/>
      <c r="D81" s="344"/>
      <c r="E81" s="344"/>
      <c r="F81" s="344"/>
      <c r="G81" s="344"/>
      <c r="H81" s="344"/>
      <c r="I81" s="217"/>
    </row>
    <row r="82" spans="2:9" x14ac:dyDescent="0.2">
      <c r="B82" s="79"/>
      <c r="C82" s="79"/>
      <c r="D82" s="79"/>
      <c r="E82" s="79"/>
      <c r="F82" s="79"/>
      <c r="G82" s="217"/>
      <c r="H82" s="369"/>
      <c r="I82" s="369"/>
    </row>
    <row r="83" spans="2:9" x14ac:dyDescent="0.2">
      <c r="B83" s="151" t="s">
        <v>28</v>
      </c>
      <c r="C83" s="151"/>
      <c r="D83" s="151"/>
      <c r="E83" s="151"/>
      <c r="F83" s="218"/>
      <c r="G83" s="342" t="s">
        <v>30</v>
      </c>
      <c r="H83" s="343"/>
      <c r="I83" s="6"/>
    </row>
    <row r="84" spans="2:9" ht="57" customHeight="1" x14ac:dyDescent="0.2">
      <c r="B84" s="152"/>
      <c r="C84" s="345" t="s">
        <v>120</v>
      </c>
      <c r="D84" s="345"/>
      <c r="E84" s="345"/>
      <c r="F84" s="346"/>
      <c r="G84" s="370" t="s">
        <v>45</v>
      </c>
      <c r="H84" s="371"/>
      <c r="I84" s="6"/>
    </row>
    <row r="85" spans="2:9" x14ac:dyDescent="0.2">
      <c r="B85" s="153" t="s">
        <v>29</v>
      </c>
      <c r="C85" s="153"/>
      <c r="D85" s="153"/>
      <c r="E85" s="153"/>
      <c r="F85" s="219"/>
      <c r="G85" s="154"/>
      <c r="H85" s="153"/>
      <c r="I85" s="6"/>
    </row>
    <row r="86" spans="2:9" ht="30" customHeight="1" x14ac:dyDescent="0.2">
      <c r="B86" s="152"/>
      <c r="C86" s="347" t="s">
        <v>46</v>
      </c>
      <c r="D86" s="347"/>
      <c r="E86" s="347"/>
      <c r="F86" s="348"/>
      <c r="G86" s="370" t="s">
        <v>31</v>
      </c>
      <c r="H86" s="371"/>
      <c r="I86" s="6"/>
    </row>
    <row r="87" spans="2:9" ht="30" customHeight="1" x14ac:dyDescent="0.2">
      <c r="B87" s="152"/>
      <c r="C87" s="349" t="s">
        <v>42</v>
      </c>
      <c r="D87" s="349"/>
      <c r="E87" s="349"/>
      <c r="F87" s="350"/>
      <c r="G87" s="372"/>
      <c r="H87" s="373"/>
      <c r="I87" s="6"/>
    </row>
    <row r="88" spans="2:9" x14ac:dyDescent="0.2">
      <c r="B88" s="152"/>
      <c r="C88" s="351" t="s">
        <v>40</v>
      </c>
      <c r="D88" s="351"/>
      <c r="E88" s="351"/>
      <c r="F88" s="352"/>
      <c r="G88" s="338" t="s">
        <v>32</v>
      </c>
      <c r="H88" s="339"/>
      <c r="I88" s="6"/>
    </row>
    <row r="89" spans="2:9" ht="44.25" customHeight="1" x14ac:dyDescent="0.2">
      <c r="B89" s="152"/>
      <c r="C89" s="353" t="s">
        <v>41</v>
      </c>
      <c r="D89" s="353"/>
      <c r="E89" s="353"/>
      <c r="F89" s="354"/>
      <c r="G89" s="340"/>
      <c r="H89" s="341"/>
      <c r="I89" s="6"/>
    </row>
  </sheetData>
  <mergeCells count="24">
    <mergeCell ref="C68:C69"/>
    <mergeCell ref="H68:H69"/>
    <mergeCell ref="G68:G69"/>
    <mergeCell ref="H82:I82"/>
    <mergeCell ref="G84:H84"/>
    <mergeCell ref="H49:H50"/>
    <mergeCell ref="D5:E5"/>
    <mergeCell ref="D6:E6"/>
    <mergeCell ref="G28:G29"/>
    <mergeCell ref="H28:H29"/>
    <mergeCell ref="C28:C29"/>
    <mergeCell ref="E28:F28"/>
    <mergeCell ref="C49:C50"/>
    <mergeCell ref="E49:F49"/>
    <mergeCell ref="G49:G50"/>
    <mergeCell ref="G88:H89"/>
    <mergeCell ref="G83:H83"/>
    <mergeCell ref="B81:H81"/>
    <mergeCell ref="C84:F84"/>
    <mergeCell ref="C86:F86"/>
    <mergeCell ref="C87:F87"/>
    <mergeCell ref="C88:F88"/>
    <mergeCell ref="C89:F89"/>
    <mergeCell ref="G86:H87"/>
  </mergeCells>
  <conditionalFormatting sqref="C71:I76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11811023622047245" right="0.11811023622047245" top="0.35433070866141736" bottom="0.15748031496062992" header="0" footer="0"/>
  <pageSetup paperSize="9" scale="44" orientation="landscape" r:id="rId1"/>
  <headerFooter>
    <oddFooter>&amp;L&amp;9&amp;Z&amp;F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view="pageBreakPreview" zoomScale="80" zoomScaleNormal="80" zoomScaleSheetLayoutView="80" workbookViewId="0">
      <selection activeCell="B1" sqref="B1"/>
    </sheetView>
  </sheetViews>
  <sheetFormatPr defaultRowHeight="12.75" x14ac:dyDescent="0.2"/>
  <cols>
    <col min="1" max="1" width="19.5703125" style="4" customWidth="1"/>
    <col min="2" max="2" width="14.5703125" style="4" customWidth="1"/>
    <col min="3" max="3" width="16.28515625" style="4" customWidth="1"/>
    <col min="4" max="4" width="14.140625" style="4" customWidth="1"/>
    <col min="5" max="5" width="17.5703125" style="4" bestFit="1" customWidth="1"/>
    <col min="6" max="6" width="2.85546875" style="4" customWidth="1"/>
    <col min="7" max="7" width="18.85546875" style="4" customWidth="1"/>
    <col min="8" max="8" width="13.42578125" style="4" customWidth="1"/>
    <col min="9" max="9" width="14.28515625" style="4" customWidth="1"/>
    <col min="10" max="10" width="14.140625" style="4" customWidth="1"/>
    <col min="11" max="11" width="12.85546875" style="4" customWidth="1"/>
    <col min="12" max="12" width="13" style="5" customWidth="1"/>
    <col min="13" max="13" width="14.7109375" style="6" customWidth="1"/>
    <col min="14" max="14" width="17" style="6" customWidth="1"/>
    <col min="15" max="15" width="13.42578125" style="6" bestFit="1" customWidth="1"/>
    <col min="16" max="16" width="16.42578125" style="6" bestFit="1" customWidth="1"/>
    <col min="17" max="17" width="15.42578125" style="6" bestFit="1" customWidth="1"/>
    <col min="18" max="18" width="12" style="6" customWidth="1"/>
    <col min="19" max="16384" width="9.140625" style="6"/>
  </cols>
  <sheetData>
    <row r="1" spans="1:18" x14ac:dyDescent="0.2">
      <c r="A1" s="2"/>
      <c r="B1" s="427" t="s">
        <v>58</v>
      </c>
      <c r="C1" s="3"/>
    </row>
    <row r="3" spans="1:18" s="4" customFormat="1" x14ac:dyDescent="0.2">
      <c r="A3" s="239" t="s">
        <v>59</v>
      </c>
      <c r="B3" s="235"/>
      <c r="C3" s="235"/>
      <c r="D3" s="240"/>
      <c r="E3" s="235"/>
      <c r="G3" s="241" t="s">
        <v>113</v>
      </c>
      <c r="H3" s="241"/>
      <c r="I3" s="241"/>
      <c r="J3" s="241"/>
      <c r="K3" s="241"/>
      <c r="L3" s="241"/>
      <c r="M3" s="241"/>
      <c r="N3" s="241"/>
      <c r="O3" s="241"/>
      <c r="P3" s="235"/>
      <c r="Q3" s="235"/>
      <c r="R3" s="235"/>
    </row>
    <row r="4" spans="1:18" s="8" customFormat="1" ht="15" customHeight="1" x14ac:dyDescent="0.25">
      <c r="A4" s="379" t="s">
        <v>60</v>
      </c>
      <c r="B4" s="381" t="s">
        <v>61</v>
      </c>
      <c r="C4" s="381" t="s">
        <v>62</v>
      </c>
      <c r="D4" s="7"/>
      <c r="G4" s="379" t="s">
        <v>60</v>
      </c>
      <c r="H4" s="381" t="s">
        <v>61</v>
      </c>
      <c r="I4" s="381" t="s">
        <v>62</v>
      </c>
      <c r="J4" s="385" t="s">
        <v>63</v>
      </c>
      <c r="K4" s="386"/>
      <c r="L4" s="387"/>
      <c r="M4" s="383" t="s">
        <v>64</v>
      </c>
      <c r="N4" s="379" t="s">
        <v>65</v>
      </c>
      <c r="O4" s="9" t="s">
        <v>66</v>
      </c>
    </row>
    <row r="5" spans="1:18" s="7" customFormat="1" ht="38.25" x14ac:dyDescent="0.25">
      <c r="A5" s="380"/>
      <c r="B5" s="382"/>
      <c r="C5" s="382"/>
      <c r="G5" s="380"/>
      <c r="H5" s="382"/>
      <c r="I5" s="382"/>
      <c r="J5" s="277" t="s">
        <v>67</v>
      </c>
      <c r="K5" s="266" t="s">
        <v>68</v>
      </c>
      <c r="L5" s="280" t="s">
        <v>69</v>
      </c>
      <c r="M5" s="384"/>
      <c r="N5" s="380"/>
      <c r="O5" s="10"/>
    </row>
    <row r="6" spans="1:18" s="7" customFormat="1" x14ac:dyDescent="0.2">
      <c r="A6" s="285" t="s">
        <v>70</v>
      </c>
      <c r="B6" s="267">
        <v>3111</v>
      </c>
      <c r="C6" s="268">
        <v>2243416.9575080876</v>
      </c>
      <c r="G6" s="301" t="str">
        <f>A6</f>
        <v>дек</v>
      </c>
      <c r="H6" s="288">
        <f>B6</f>
        <v>3111</v>
      </c>
      <c r="I6" s="288">
        <f>C6</f>
        <v>2243416.9575080876</v>
      </c>
      <c r="J6" s="293"/>
      <c r="K6" s="11"/>
      <c r="L6" s="285"/>
      <c r="M6" s="296"/>
      <c r="N6" s="285"/>
      <c r="O6" s="12"/>
    </row>
    <row r="7" spans="1:18" s="4" customFormat="1" x14ac:dyDescent="0.2">
      <c r="A7" s="285" t="s">
        <v>71</v>
      </c>
      <c r="B7" s="267">
        <v>4099</v>
      </c>
      <c r="C7" s="268">
        <v>2900000</v>
      </c>
      <c r="D7" s="7"/>
      <c r="G7" s="301" t="str">
        <f t="shared" ref="G7:G19" si="0">A7</f>
        <v>янв</v>
      </c>
      <c r="H7" s="288">
        <f t="shared" ref="H7:I18" si="1">B7</f>
        <v>4099</v>
      </c>
      <c r="I7" s="288">
        <f t="shared" si="1"/>
        <v>2900000</v>
      </c>
      <c r="J7" s="294">
        <f t="shared" ref="J7:J18" si="2">I7-I6</f>
        <v>656583.04249191238</v>
      </c>
      <c r="K7" s="289">
        <f t="shared" ref="K7:K18" si="3">(I7/H7-I6/H6)*H7</f>
        <v>-55887.530962922327</v>
      </c>
      <c r="L7" s="295">
        <f t="shared" ref="L7:L18" si="4">(H7-H6)*I6/H6</f>
        <v>712470.57345483464</v>
      </c>
      <c r="M7" s="297">
        <f t="shared" ref="M7:M18" si="5">(I7/H7)/(I6/H6)-1</f>
        <v>-1.8907191284343705E-2</v>
      </c>
      <c r="N7" s="298">
        <f t="shared" ref="N7:N18" si="6">H7/H6-1</f>
        <v>0.31758277081324326</v>
      </c>
      <c r="O7" s="13">
        <f t="shared" ref="O7:O19" si="7">J7-(K7+L7)</f>
        <v>0</v>
      </c>
    </row>
    <row r="8" spans="1:18" s="4" customFormat="1" x14ac:dyDescent="0.2">
      <c r="A8" s="285" t="s">
        <v>72</v>
      </c>
      <c r="B8" s="267">
        <v>4117</v>
      </c>
      <c r="C8" s="268">
        <v>2968867.7640825449</v>
      </c>
      <c r="D8" s="7"/>
      <c r="G8" s="301" t="str">
        <f t="shared" si="0"/>
        <v>фев</v>
      </c>
      <c r="H8" s="288">
        <f t="shared" si="1"/>
        <v>4117</v>
      </c>
      <c r="I8" s="288">
        <f t="shared" si="1"/>
        <v>2968867.7640825449</v>
      </c>
      <c r="J8" s="294">
        <f t="shared" si="2"/>
        <v>68867.764082544949</v>
      </c>
      <c r="K8" s="289">
        <f t="shared" si="3"/>
        <v>56132.9507134304</v>
      </c>
      <c r="L8" s="295">
        <f t="shared" si="4"/>
        <v>12734.813369114418</v>
      </c>
      <c r="M8" s="297">
        <f t="shared" si="5"/>
        <v>1.9271562401007802E-2</v>
      </c>
      <c r="N8" s="298">
        <f t="shared" si="6"/>
        <v>4.3913149548671093E-3</v>
      </c>
      <c r="O8" s="13">
        <f t="shared" si="7"/>
        <v>1.3096723705530167E-10</v>
      </c>
    </row>
    <row r="9" spans="1:18" s="4" customFormat="1" x14ac:dyDescent="0.2">
      <c r="A9" s="285" t="s">
        <v>73</v>
      </c>
      <c r="B9" s="267">
        <v>4151</v>
      </c>
      <c r="C9" s="268">
        <v>3100000</v>
      </c>
      <c r="D9" s="7"/>
      <c r="G9" s="301" t="str">
        <f t="shared" si="0"/>
        <v>мар</v>
      </c>
      <c r="H9" s="288">
        <f t="shared" si="1"/>
        <v>4151</v>
      </c>
      <c r="I9" s="288">
        <f t="shared" si="1"/>
        <v>3100000</v>
      </c>
      <c r="J9" s="294">
        <f t="shared" si="2"/>
        <v>131132.23591745505</v>
      </c>
      <c r="K9" s="289">
        <f t="shared" si="3"/>
        <v>106614.01780261259</v>
      </c>
      <c r="L9" s="295">
        <f t="shared" si="4"/>
        <v>24518.21811484249</v>
      </c>
      <c r="M9" s="297">
        <f t="shared" si="5"/>
        <v>3.5616528719209617E-2</v>
      </c>
      <c r="N9" s="298">
        <f t="shared" si="6"/>
        <v>8.2584406120962406E-3</v>
      </c>
      <c r="O9" s="13">
        <f t="shared" si="7"/>
        <v>0</v>
      </c>
    </row>
    <row r="10" spans="1:18" s="4" customFormat="1" x14ac:dyDescent="0.2">
      <c r="A10" s="285" t="s">
        <v>74</v>
      </c>
      <c r="B10" s="267">
        <v>4213</v>
      </c>
      <c r="C10" s="268">
        <v>3038095.674053865</v>
      </c>
      <c r="D10" s="7"/>
      <c r="G10" s="301" t="str">
        <f t="shared" si="0"/>
        <v>апр</v>
      </c>
      <c r="H10" s="288">
        <f t="shared" si="1"/>
        <v>4213</v>
      </c>
      <c r="I10" s="288">
        <f t="shared" si="1"/>
        <v>3038095.674053865</v>
      </c>
      <c r="J10" s="294">
        <f t="shared" si="2"/>
        <v>-61904.325946134981</v>
      </c>
      <c r="K10" s="289">
        <f t="shared" si="3"/>
        <v>-108206.42182664583</v>
      </c>
      <c r="L10" s="295">
        <f t="shared" si="4"/>
        <v>46302.095880510722</v>
      </c>
      <c r="M10" s="297">
        <f t="shared" si="5"/>
        <v>-3.4391618646004041E-2</v>
      </c>
      <c r="N10" s="298">
        <f t="shared" si="6"/>
        <v>1.4936159961455031E-2</v>
      </c>
      <c r="O10" s="13">
        <f t="shared" si="7"/>
        <v>1.3096723705530167E-10</v>
      </c>
    </row>
    <row r="11" spans="1:18" s="4" customFormat="1" x14ac:dyDescent="0.2">
      <c r="A11" s="285" t="s">
        <v>75</v>
      </c>
      <c r="B11" s="267">
        <v>4273</v>
      </c>
      <c r="C11" s="268">
        <v>3080000</v>
      </c>
      <c r="D11" s="7"/>
      <c r="G11" s="301" t="str">
        <f t="shared" si="0"/>
        <v>май</v>
      </c>
      <c r="H11" s="288">
        <f t="shared" si="1"/>
        <v>4273</v>
      </c>
      <c r="I11" s="288">
        <f t="shared" si="1"/>
        <v>3080000</v>
      </c>
      <c r="J11" s="294">
        <f t="shared" si="2"/>
        <v>41904.325946134981</v>
      </c>
      <c r="K11" s="289">
        <f t="shared" si="3"/>
        <v>-1363.1177859397158</v>
      </c>
      <c r="L11" s="295">
        <f t="shared" si="4"/>
        <v>43267.443732074986</v>
      </c>
      <c r="M11" s="297">
        <f t="shared" si="5"/>
        <v>-4.423749275350719E-4</v>
      </c>
      <c r="N11" s="298">
        <f t="shared" si="6"/>
        <v>1.4241633040588564E-2</v>
      </c>
      <c r="O11" s="13">
        <f t="shared" si="7"/>
        <v>-2.9103830456733704E-10</v>
      </c>
    </row>
    <row r="12" spans="1:18" s="4" customFormat="1" x14ac:dyDescent="0.2">
      <c r="A12" s="285" t="s">
        <v>76</v>
      </c>
      <c r="B12" s="267">
        <v>4197</v>
      </c>
      <c r="C12" s="268">
        <v>3020000</v>
      </c>
      <c r="D12" s="7"/>
      <c r="G12" s="301" t="str">
        <f t="shared" si="0"/>
        <v>июн</v>
      </c>
      <c r="H12" s="288">
        <f t="shared" si="1"/>
        <v>4197</v>
      </c>
      <c r="I12" s="288">
        <f t="shared" si="1"/>
        <v>3020000</v>
      </c>
      <c r="J12" s="294">
        <f t="shared" si="2"/>
        <v>-60000</v>
      </c>
      <c r="K12" s="289">
        <f t="shared" si="3"/>
        <v>-5218.8158202667919</v>
      </c>
      <c r="L12" s="295">
        <f t="shared" si="4"/>
        <v>-54781.184179733209</v>
      </c>
      <c r="M12" s="297">
        <f t="shared" si="5"/>
        <v>-1.725103583573917E-3</v>
      </c>
      <c r="N12" s="298">
        <f t="shared" si="6"/>
        <v>-1.7786098759653646E-2</v>
      </c>
      <c r="O12" s="13">
        <f t="shared" si="7"/>
        <v>0</v>
      </c>
    </row>
    <row r="13" spans="1:18" s="4" customFormat="1" x14ac:dyDescent="0.2">
      <c r="A13" s="285" t="s">
        <v>77</v>
      </c>
      <c r="B13" s="267">
        <v>4133</v>
      </c>
      <c r="C13" s="268">
        <v>2985000</v>
      </c>
      <c r="D13" s="7"/>
      <c r="G13" s="301" t="str">
        <f t="shared" si="0"/>
        <v>июл</v>
      </c>
      <c r="H13" s="288">
        <f t="shared" si="1"/>
        <v>4133</v>
      </c>
      <c r="I13" s="288">
        <f t="shared" si="1"/>
        <v>2985000</v>
      </c>
      <c r="J13" s="294">
        <f t="shared" si="2"/>
        <v>-35000</v>
      </c>
      <c r="K13" s="289">
        <f t="shared" si="3"/>
        <v>11051.941863235716</v>
      </c>
      <c r="L13" s="295">
        <f t="shared" si="4"/>
        <v>-46051.941863235646</v>
      </c>
      <c r="M13" s="297">
        <f t="shared" si="5"/>
        <v>3.716252485646887E-3</v>
      </c>
      <c r="N13" s="298">
        <f t="shared" si="6"/>
        <v>-1.5248987371932365E-2</v>
      </c>
      <c r="O13" s="13">
        <f t="shared" si="7"/>
        <v>-7.2759576141834259E-11</v>
      </c>
    </row>
    <row r="14" spans="1:18" s="4" customFormat="1" x14ac:dyDescent="0.2">
      <c r="A14" s="285" t="s">
        <v>78</v>
      </c>
      <c r="B14" s="267">
        <v>4033</v>
      </c>
      <c r="C14" s="268">
        <v>2910000</v>
      </c>
      <c r="D14" s="7"/>
      <c r="G14" s="301" t="str">
        <f t="shared" si="0"/>
        <v>авг</v>
      </c>
      <c r="H14" s="288">
        <f t="shared" si="1"/>
        <v>4033</v>
      </c>
      <c r="I14" s="288">
        <f t="shared" si="1"/>
        <v>2910000</v>
      </c>
      <c r="J14" s="294">
        <f t="shared" si="2"/>
        <v>-75000</v>
      </c>
      <c r="K14" s="289">
        <f t="shared" si="3"/>
        <v>-2776.4335833537098</v>
      </c>
      <c r="L14" s="295">
        <f t="shared" si="4"/>
        <v>-72223.566416646499</v>
      </c>
      <c r="M14" s="297">
        <f t="shared" si="5"/>
        <v>-9.5319144694472335E-4</v>
      </c>
      <c r="N14" s="298">
        <f t="shared" si="6"/>
        <v>-2.4195499637067464E-2</v>
      </c>
      <c r="O14" s="13">
        <f t="shared" si="7"/>
        <v>2.0372681319713593E-10</v>
      </c>
    </row>
    <row r="15" spans="1:18" s="4" customFormat="1" x14ac:dyDescent="0.2">
      <c r="A15" s="285" t="s">
        <v>79</v>
      </c>
      <c r="B15" s="267">
        <v>4147</v>
      </c>
      <c r="C15" s="268">
        <v>2990000</v>
      </c>
      <c r="D15" s="7"/>
      <c r="G15" s="301" t="str">
        <f t="shared" si="0"/>
        <v>сен</v>
      </c>
      <c r="H15" s="288">
        <f t="shared" si="1"/>
        <v>4147</v>
      </c>
      <c r="I15" s="288">
        <f t="shared" si="1"/>
        <v>2990000</v>
      </c>
      <c r="J15" s="294">
        <f t="shared" si="2"/>
        <v>80000</v>
      </c>
      <c r="K15" s="289">
        <f t="shared" si="3"/>
        <v>-2256.3848251922686</v>
      </c>
      <c r="L15" s="295">
        <f t="shared" si="4"/>
        <v>82256.384825192159</v>
      </c>
      <c r="M15" s="297">
        <f t="shared" si="5"/>
        <v>-7.5407469648491876E-4</v>
      </c>
      <c r="N15" s="298">
        <f t="shared" si="6"/>
        <v>2.8266798909000634E-2</v>
      </c>
      <c r="O15" s="13">
        <f t="shared" si="7"/>
        <v>1.1641532182693481E-10</v>
      </c>
    </row>
    <row r="16" spans="1:18" s="4" customFormat="1" x14ac:dyDescent="0.2">
      <c r="A16" s="285" t="s">
        <v>80</v>
      </c>
      <c r="B16" s="267">
        <v>4184</v>
      </c>
      <c r="C16" s="268">
        <v>3020000</v>
      </c>
      <c r="D16" s="7"/>
      <c r="G16" s="301" t="str">
        <f t="shared" si="0"/>
        <v>окт</v>
      </c>
      <c r="H16" s="288">
        <f t="shared" si="1"/>
        <v>4184</v>
      </c>
      <c r="I16" s="288">
        <f t="shared" si="1"/>
        <v>3020000</v>
      </c>
      <c r="J16" s="294">
        <f t="shared" si="2"/>
        <v>30000</v>
      </c>
      <c r="K16" s="289">
        <f t="shared" si="3"/>
        <v>3322.8840125393936</v>
      </c>
      <c r="L16" s="295">
        <f t="shared" si="4"/>
        <v>26677.115987460817</v>
      </c>
      <c r="M16" s="297">
        <f t="shared" si="5"/>
        <v>1.1015046969824471E-3</v>
      </c>
      <c r="N16" s="298">
        <f t="shared" si="6"/>
        <v>8.9221123703882022E-3</v>
      </c>
      <c r="O16" s="13">
        <f t="shared" si="7"/>
        <v>-2.1100277081131935E-10</v>
      </c>
    </row>
    <row r="17" spans="1:18" s="4" customFormat="1" x14ac:dyDescent="0.2">
      <c r="A17" s="285" t="s">
        <v>81</v>
      </c>
      <c r="B17" s="267">
        <v>4253</v>
      </c>
      <c r="C17" s="268">
        <v>3065000</v>
      </c>
      <c r="D17" s="7"/>
      <c r="G17" s="301" t="str">
        <f t="shared" si="0"/>
        <v>ноя</v>
      </c>
      <c r="H17" s="288">
        <f t="shared" si="1"/>
        <v>4253</v>
      </c>
      <c r="I17" s="288">
        <f t="shared" si="1"/>
        <v>3065000</v>
      </c>
      <c r="J17" s="294">
        <f t="shared" si="2"/>
        <v>45000</v>
      </c>
      <c r="K17" s="289">
        <f t="shared" si="3"/>
        <v>-4804.0152963670344</v>
      </c>
      <c r="L17" s="295">
        <f t="shared" si="4"/>
        <v>49804.015296367113</v>
      </c>
      <c r="M17" s="297">
        <f t="shared" si="5"/>
        <v>-1.5649257322061239E-3</v>
      </c>
      <c r="N17" s="298">
        <f t="shared" si="6"/>
        <v>1.649139579349912E-2</v>
      </c>
      <c r="O17" s="13">
        <f t="shared" si="7"/>
        <v>-8.0035533756017685E-11</v>
      </c>
    </row>
    <row r="18" spans="1:18" s="4" customFormat="1" x14ac:dyDescent="0.2">
      <c r="A18" s="286" t="s">
        <v>70</v>
      </c>
      <c r="B18" s="272">
        <v>4300</v>
      </c>
      <c r="C18" s="273">
        <v>3051352.0781462006</v>
      </c>
      <c r="D18" s="231">
        <f>E22-SUM(C7:C17)</f>
        <v>3051352.0781462006</v>
      </c>
      <c r="G18" s="315" t="str">
        <f t="shared" si="0"/>
        <v>дек</v>
      </c>
      <c r="H18" s="316">
        <f t="shared" si="1"/>
        <v>4300</v>
      </c>
      <c r="I18" s="316">
        <f t="shared" si="1"/>
        <v>3051352.0781462006</v>
      </c>
      <c r="J18" s="317">
        <f t="shared" si="2"/>
        <v>-13647.921853799373</v>
      </c>
      <c r="K18" s="318">
        <f t="shared" si="3"/>
        <v>-47519.306758572508</v>
      </c>
      <c r="L18" s="319">
        <f t="shared" si="4"/>
        <v>33871.384904773098</v>
      </c>
      <c r="M18" s="320">
        <f t="shared" si="5"/>
        <v>-1.5334391414257631E-2</v>
      </c>
      <c r="N18" s="321">
        <f t="shared" si="6"/>
        <v>1.1051022807430089E-2</v>
      </c>
      <c r="O18" s="13">
        <f t="shared" si="7"/>
        <v>3.637978807091713E-11</v>
      </c>
    </row>
    <row r="19" spans="1:18" s="14" customFormat="1" x14ac:dyDescent="0.2">
      <c r="A19" s="287" t="s">
        <v>67</v>
      </c>
      <c r="B19" s="270">
        <f>SUM(B7:B18)</f>
        <v>50100</v>
      </c>
      <c r="C19" s="271">
        <f>SUM(C7:C18)</f>
        <v>36128315.516282611</v>
      </c>
      <c r="D19" s="227"/>
      <c r="G19" s="300" t="str">
        <f t="shared" si="0"/>
        <v>Всего</v>
      </c>
      <c r="H19" s="291">
        <f>'Факторный анализ_выручка'!B19</f>
        <v>50100</v>
      </c>
      <c r="I19" s="291">
        <f>'Факторный анализ_выручка'!C19</f>
        <v>36128315.516282611</v>
      </c>
      <c r="J19" s="279">
        <f>SUM(J7:J18)</f>
        <v>807935.120638113</v>
      </c>
      <c r="K19" s="276">
        <f>SUM(K7:K18)</f>
        <v>-50910.232467442089</v>
      </c>
      <c r="L19" s="283">
        <f>SUM(L7:L18)</f>
        <v>858845.35310555517</v>
      </c>
      <c r="M19" s="299"/>
      <c r="N19" s="300"/>
      <c r="O19" s="13">
        <f t="shared" si="7"/>
        <v>0</v>
      </c>
    </row>
    <row r="20" spans="1:18" s="14" customFormat="1" x14ac:dyDescent="0.2">
      <c r="A20" s="394" t="s">
        <v>66</v>
      </c>
      <c r="B20" s="270"/>
      <c r="C20" s="5" t="b">
        <f>C19='Факторный анализ_прибыль'!C39</f>
        <v>1</v>
      </c>
      <c r="D20" s="227"/>
      <c r="G20" s="398"/>
      <c r="H20" s="291"/>
      <c r="I20" s="291"/>
      <c r="J20" s="276"/>
      <c r="K20" s="276"/>
      <c r="L20" s="276"/>
      <c r="M20" s="398"/>
      <c r="N20" s="398"/>
      <c r="O20" s="13"/>
    </row>
    <row r="21" spans="1:18" s="4" customFormat="1" x14ac:dyDescent="0.2">
      <c r="B21" s="15"/>
      <c r="D21" s="7"/>
      <c r="E21" s="7"/>
    </row>
    <row r="22" spans="1:18" s="4" customFormat="1" x14ac:dyDescent="0.2">
      <c r="C22" s="229">
        <f>'Факторный анализ_прибыль'!C31</f>
        <v>35515704.948832572</v>
      </c>
      <c r="D22" s="230"/>
      <c r="E22" s="229">
        <f>'Факторный анализ_прибыль'!C39</f>
        <v>36128315.516282611</v>
      </c>
      <c r="I22" s="5"/>
    </row>
    <row r="23" spans="1:18" s="8" customFormat="1" x14ac:dyDescent="0.25">
      <c r="A23" s="239" t="s">
        <v>82</v>
      </c>
      <c r="B23" s="242"/>
      <c r="C23" s="242"/>
      <c r="D23" s="242"/>
      <c r="E23" s="242"/>
      <c r="G23" s="241" t="s">
        <v>112</v>
      </c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4"/>
    </row>
    <row r="24" spans="1:18" s="4" customFormat="1" x14ac:dyDescent="0.2">
      <c r="A24" s="381" t="s">
        <v>83</v>
      </c>
      <c r="B24" s="383" t="s">
        <v>84</v>
      </c>
      <c r="C24" s="379"/>
      <c r="D24" s="381" t="s">
        <v>85</v>
      </c>
      <c r="E24" s="381"/>
      <c r="G24" s="379" t="s">
        <v>83</v>
      </c>
      <c r="H24" s="384" t="s">
        <v>84</v>
      </c>
      <c r="I24" s="382"/>
      <c r="J24" s="380"/>
      <c r="K24" s="384" t="s">
        <v>85</v>
      </c>
      <c r="L24" s="382"/>
      <c r="M24" s="380"/>
      <c r="N24" s="374" t="s">
        <v>86</v>
      </c>
      <c r="O24" s="375"/>
      <c r="P24" s="375"/>
      <c r="Q24" s="376"/>
      <c r="R24" s="377" t="s">
        <v>66</v>
      </c>
    </row>
    <row r="25" spans="1:18" s="7" customFormat="1" ht="38.25" x14ac:dyDescent="0.25">
      <c r="A25" s="382"/>
      <c r="B25" s="277" t="s">
        <v>61</v>
      </c>
      <c r="C25" s="280" t="s">
        <v>62</v>
      </c>
      <c r="D25" s="266" t="s">
        <v>61</v>
      </c>
      <c r="E25" s="266" t="s">
        <v>62</v>
      </c>
      <c r="G25" s="380"/>
      <c r="H25" s="277" t="s">
        <v>61</v>
      </c>
      <c r="I25" s="266" t="s">
        <v>87</v>
      </c>
      <c r="J25" s="280" t="s">
        <v>62</v>
      </c>
      <c r="K25" s="277" t="s">
        <v>61</v>
      </c>
      <c r="L25" s="266" t="s">
        <v>87</v>
      </c>
      <c r="M25" s="280" t="s">
        <v>62</v>
      </c>
      <c r="N25" s="277" t="s">
        <v>67</v>
      </c>
      <c r="O25" s="266" t="s">
        <v>68</v>
      </c>
      <c r="P25" s="266" t="s">
        <v>69</v>
      </c>
      <c r="Q25" s="280" t="s">
        <v>88</v>
      </c>
      <c r="R25" s="378"/>
    </row>
    <row r="26" spans="1:18" s="7" customFormat="1" x14ac:dyDescent="0.2">
      <c r="A26" s="274" t="s">
        <v>89</v>
      </c>
      <c r="B26" s="278">
        <v>13500</v>
      </c>
      <c r="C26" s="281">
        <f>E26/D26*B26*0.98</f>
        <v>10562874.251497006</v>
      </c>
      <c r="D26" s="274">
        <f>B19/4</f>
        <v>12525</v>
      </c>
      <c r="E26" s="274">
        <v>10000000</v>
      </c>
      <c r="G26" s="335" t="str">
        <f t="shared" ref="G26:G36" si="8">A26</f>
        <v>продукт А</v>
      </c>
      <c r="H26" s="306">
        <f>B26</f>
        <v>13500</v>
      </c>
      <c r="I26" s="290">
        <f>H26/$H$37</f>
        <v>0.25163094128611369</v>
      </c>
      <c r="J26" s="307">
        <f>C26</f>
        <v>10562874.251497006</v>
      </c>
      <c r="K26" s="310">
        <f>D26</f>
        <v>12525</v>
      </c>
      <c r="L26" s="290">
        <f>K26/$K$37</f>
        <v>0.25</v>
      </c>
      <c r="M26" s="307">
        <f>E26</f>
        <v>10000000</v>
      </c>
      <c r="N26" s="312">
        <f>M26-J26</f>
        <v>-562874.25149700604</v>
      </c>
      <c r="O26" s="302">
        <f>(M26/K26-J26/H26)*L26*$K$37</f>
        <v>199999.99999999977</v>
      </c>
      <c r="P26" s="302">
        <f>J26/H26*I26*($K$37-$H$37)</f>
        <v>-698941.35308134893</v>
      </c>
      <c r="Q26" s="313">
        <f>J26/H26*$K$37*(L26-I26)</f>
        <v>-63932.898415656455</v>
      </c>
      <c r="R26" s="20">
        <f>N26-SUM(O26:Q26)</f>
        <v>0</v>
      </c>
    </row>
    <row r="27" spans="1:18" s="4" customFormat="1" x14ac:dyDescent="0.2">
      <c r="A27" s="274" t="s">
        <v>90</v>
      </c>
      <c r="B27" s="278">
        <v>8100</v>
      </c>
      <c r="C27" s="281">
        <f t="shared" ref="C27:C28" si="9">E27/D27*B27*0.98</f>
        <v>4961250</v>
      </c>
      <c r="D27" s="274">
        <v>8000</v>
      </c>
      <c r="E27" s="274">
        <v>5000000</v>
      </c>
      <c r="G27" s="333" t="str">
        <f t="shared" si="8"/>
        <v>продукт Б</v>
      </c>
      <c r="H27" s="306">
        <f t="shared" ref="H27:H36" si="10">B27</f>
        <v>8100</v>
      </c>
      <c r="I27" s="290">
        <f>H27/$H$37</f>
        <v>0.15097856477166821</v>
      </c>
      <c r="J27" s="307">
        <f t="shared" ref="J27:K36" si="11">C27</f>
        <v>4961250</v>
      </c>
      <c r="K27" s="310">
        <f t="shared" si="11"/>
        <v>8000</v>
      </c>
      <c r="L27" s="290">
        <f>K27/$K$37</f>
        <v>0.15968063872255489</v>
      </c>
      <c r="M27" s="307">
        <f t="shared" ref="M27:M36" si="12">E27</f>
        <v>5000000</v>
      </c>
      <c r="N27" s="312">
        <f>M27-J27</f>
        <v>38750</v>
      </c>
      <c r="O27" s="302">
        <f>(M27/K27-J27/H27)*L27*$K$37</f>
        <v>100000</v>
      </c>
      <c r="P27" s="302">
        <f>J27/H27*I27*($K$37-$H$37)</f>
        <v>-328284.01677539607</v>
      </c>
      <c r="Q27" s="313">
        <f>J27/H27*$K$37*(L27-I27)</f>
        <v>267034.01677539636</v>
      </c>
      <c r="R27" s="20">
        <f t="shared" ref="R27:R36" si="13">N27-SUM(O27:Q27)</f>
        <v>-2.9103830456733704E-10</v>
      </c>
    </row>
    <row r="28" spans="1:18" s="4" customFormat="1" x14ac:dyDescent="0.2">
      <c r="A28" s="274" t="s">
        <v>91</v>
      </c>
      <c r="B28" s="278">
        <v>10050</v>
      </c>
      <c r="C28" s="281">
        <f t="shared" si="9"/>
        <v>7879200</v>
      </c>
      <c r="D28" s="274">
        <v>10000</v>
      </c>
      <c r="E28" s="274">
        <v>8000000</v>
      </c>
      <c r="G28" s="333" t="str">
        <f t="shared" si="8"/>
        <v>продукт В</v>
      </c>
      <c r="H28" s="306">
        <f t="shared" si="10"/>
        <v>10050</v>
      </c>
      <c r="I28" s="290">
        <f>H28/$H$37</f>
        <v>0.18732525629077354</v>
      </c>
      <c r="J28" s="307">
        <f t="shared" si="11"/>
        <v>7879200</v>
      </c>
      <c r="K28" s="310">
        <f t="shared" si="11"/>
        <v>10000</v>
      </c>
      <c r="L28" s="290">
        <f>K28/$K$37</f>
        <v>0.19960079840319361</v>
      </c>
      <c r="M28" s="307">
        <f t="shared" si="12"/>
        <v>8000000</v>
      </c>
      <c r="N28" s="312">
        <f>M28-J28</f>
        <v>120800</v>
      </c>
      <c r="O28" s="302">
        <f>(M28/K28-J28/H28)*L28*$K$37</f>
        <v>160000</v>
      </c>
      <c r="P28" s="302">
        <f>J28/H28*I28*($K$37-$H$37)</f>
        <v>-521363.65330848098</v>
      </c>
      <c r="Q28" s="313">
        <f>J28/H28*$K$37*(L28-I28)</f>
        <v>482163.65330848063</v>
      </c>
      <c r="R28" s="20">
        <f t="shared" si="13"/>
        <v>3.4924596548080444E-10</v>
      </c>
    </row>
    <row r="29" spans="1:18" s="4" customFormat="1" x14ac:dyDescent="0.2">
      <c r="A29" s="274" t="s">
        <v>92</v>
      </c>
      <c r="B29" s="278">
        <v>22000</v>
      </c>
      <c r="C29" s="281">
        <v>12112380.697335564</v>
      </c>
      <c r="D29" s="274">
        <f>B19-D26-D27-D28</f>
        <v>19575</v>
      </c>
      <c r="E29" s="274">
        <f>C19-E26-E27-E28</f>
        <v>13128315.516282611</v>
      </c>
      <c r="G29" s="333" t="str">
        <f t="shared" si="8"/>
        <v>продукт Г</v>
      </c>
      <c r="H29" s="306">
        <f t="shared" si="10"/>
        <v>22000</v>
      </c>
      <c r="I29" s="290">
        <f>H29/$H$37</f>
        <v>0.41006523765144454</v>
      </c>
      <c r="J29" s="307">
        <f t="shared" si="11"/>
        <v>12112380.697335564</v>
      </c>
      <c r="K29" s="310">
        <f t="shared" si="11"/>
        <v>19575</v>
      </c>
      <c r="L29" s="290">
        <f>K29/$K$37</f>
        <v>0.3907185628742515</v>
      </c>
      <c r="M29" s="307">
        <f t="shared" si="12"/>
        <v>13128315.516282611</v>
      </c>
      <c r="N29" s="312">
        <f>M29-J29</f>
        <v>1015934.818947047</v>
      </c>
      <c r="O29" s="302">
        <f>(M29/K29-J29/H29)*L29*$K$37</f>
        <v>2351049.5094488086</v>
      </c>
      <c r="P29" s="302">
        <f>J29/H29*I29*($K$37-$H$37)</f>
        <v>-801471.60252639791</v>
      </c>
      <c r="Q29" s="313">
        <f>J29/H29*$K$37*(L29-I29)</f>
        <v>-533643.08797536278</v>
      </c>
      <c r="R29" s="20">
        <f t="shared" si="13"/>
        <v>-9.3132257461547852E-10</v>
      </c>
    </row>
    <row r="30" spans="1:18" s="4" customFormat="1" x14ac:dyDescent="0.2">
      <c r="A30" s="274"/>
      <c r="B30" s="278"/>
      <c r="C30" s="282"/>
      <c r="D30" s="274"/>
      <c r="E30" s="275"/>
      <c r="G30" s="333">
        <f t="shared" si="8"/>
        <v>0</v>
      </c>
      <c r="H30" s="306">
        <f t="shared" si="10"/>
        <v>0</v>
      </c>
      <c r="I30" s="290">
        <f t="shared" ref="I30:I36" si="14">H30/$H$37</f>
        <v>0</v>
      </c>
      <c r="J30" s="307">
        <f t="shared" si="11"/>
        <v>0</v>
      </c>
      <c r="K30" s="310">
        <f t="shared" si="11"/>
        <v>0</v>
      </c>
      <c r="L30" s="290">
        <f t="shared" ref="L30:L36" si="15">K30/$K$37</f>
        <v>0</v>
      </c>
      <c r="M30" s="307">
        <f t="shared" si="12"/>
        <v>0</v>
      </c>
      <c r="N30" s="312"/>
      <c r="O30" s="302"/>
      <c r="P30" s="302"/>
      <c r="Q30" s="313"/>
      <c r="R30" s="20">
        <f t="shared" si="13"/>
        <v>0</v>
      </c>
    </row>
    <row r="31" spans="1:18" s="4" customFormat="1" x14ac:dyDescent="0.2">
      <c r="A31" s="274"/>
      <c r="B31" s="278"/>
      <c r="C31" s="282"/>
      <c r="D31" s="274"/>
      <c r="E31" s="275"/>
      <c r="G31" s="333">
        <f t="shared" si="8"/>
        <v>0</v>
      </c>
      <c r="H31" s="306">
        <f t="shared" si="10"/>
        <v>0</v>
      </c>
      <c r="I31" s="290">
        <f t="shared" si="14"/>
        <v>0</v>
      </c>
      <c r="J31" s="307">
        <f t="shared" si="11"/>
        <v>0</v>
      </c>
      <c r="K31" s="310">
        <f t="shared" si="11"/>
        <v>0</v>
      </c>
      <c r="L31" s="290">
        <f t="shared" si="15"/>
        <v>0</v>
      </c>
      <c r="M31" s="307">
        <f t="shared" si="12"/>
        <v>0</v>
      </c>
      <c r="N31" s="312"/>
      <c r="O31" s="302"/>
      <c r="P31" s="302"/>
      <c r="Q31" s="313"/>
      <c r="R31" s="20">
        <f t="shared" si="13"/>
        <v>0</v>
      </c>
    </row>
    <row r="32" spans="1:18" s="4" customFormat="1" x14ac:dyDescent="0.2">
      <c r="A32" s="274"/>
      <c r="B32" s="278"/>
      <c r="C32" s="282"/>
      <c r="D32" s="274"/>
      <c r="E32" s="275"/>
      <c r="G32" s="333">
        <f t="shared" si="8"/>
        <v>0</v>
      </c>
      <c r="H32" s="306">
        <f t="shared" si="10"/>
        <v>0</v>
      </c>
      <c r="I32" s="290">
        <f t="shared" si="14"/>
        <v>0</v>
      </c>
      <c r="J32" s="307">
        <f t="shared" si="11"/>
        <v>0</v>
      </c>
      <c r="K32" s="310">
        <f t="shared" si="11"/>
        <v>0</v>
      </c>
      <c r="L32" s="290">
        <f t="shared" si="15"/>
        <v>0</v>
      </c>
      <c r="M32" s="307">
        <f t="shared" si="12"/>
        <v>0</v>
      </c>
      <c r="N32" s="312"/>
      <c r="O32" s="302"/>
      <c r="P32" s="302"/>
      <c r="Q32" s="313"/>
      <c r="R32" s="20">
        <f t="shared" si="13"/>
        <v>0</v>
      </c>
    </row>
    <row r="33" spans="1:18" s="4" customFormat="1" x14ac:dyDescent="0.2">
      <c r="A33" s="274"/>
      <c r="B33" s="278"/>
      <c r="C33" s="282"/>
      <c r="D33" s="274"/>
      <c r="E33" s="275"/>
      <c r="G33" s="333">
        <f t="shared" si="8"/>
        <v>0</v>
      </c>
      <c r="H33" s="306">
        <f t="shared" si="10"/>
        <v>0</v>
      </c>
      <c r="I33" s="290">
        <f t="shared" si="14"/>
        <v>0</v>
      </c>
      <c r="J33" s="307">
        <f t="shared" si="11"/>
        <v>0</v>
      </c>
      <c r="K33" s="310">
        <f t="shared" si="11"/>
        <v>0</v>
      </c>
      <c r="L33" s="290">
        <f t="shared" si="15"/>
        <v>0</v>
      </c>
      <c r="M33" s="307">
        <f t="shared" si="12"/>
        <v>0</v>
      </c>
      <c r="N33" s="312"/>
      <c r="O33" s="302"/>
      <c r="P33" s="302"/>
      <c r="Q33" s="313"/>
      <c r="R33" s="20">
        <f t="shared" si="13"/>
        <v>0</v>
      </c>
    </row>
    <row r="34" spans="1:18" s="4" customFormat="1" x14ac:dyDescent="0.2">
      <c r="A34" s="274"/>
      <c r="B34" s="278"/>
      <c r="C34" s="282"/>
      <c r="D34" s="274"/>
      <c r="E34" s="275"/>
      <c r="G34" s="333">
        <f t="shared" si="8"/>
        <v>0</v>
      </c>
      <c r="H34" s="306">
        <f t="shared" si="10"/>
        <v>0</v>
      </c>
      <c r="I34" s="290">
        <f t="shared" si="14"/>
        <v>0</v>
      </c>
      <c r="J34" s="307">
        <f t="shared" si="11"/>
        <v>0</v>
      </c>
      <c r="K34" s="310">
        <f t="shared" si="11"/>
        <v>0</v>
      </c>
      <c r="L34" s="290">
        <f t="shared" si="15"/>
        <v>0</v>
      </c>
      <c r="M34" s="307">
        <f t="shared" si="12"/>
        <v>0</v>
      </c>
      <c r="N34" s="312"/>
      <c r="O34" s="302"/>
      <c r="P34" s="302"/>
      <c r="Q34" s="313"/>
      <c r="R34" s="20">
        <f t="shared" si="13"/>
        <v>0</v>
      </c>
    </row>
    <row r="35" spans="1:18" s="4" customFormat="1" x14ac:dyDescent="0.2">
      <c r="A35" s="274"/>
      <c r="B35" s="278"/>
      <c r="C35" s="282"/>
      <c r="D35" s="274"/>
      <c r="E35" s="275"/>
      <c r="G35" s="333">
        <f t="shared" si="8"/>
        <v>0</v>
      </c>
      <c r="H35" s="306">
        <f t="shared" si="10"/>
        <v>0</v>
      </c>
      <c r="I35" s="290">
        <f t="shared" si="14"/>
        <v>0</v>
      </c>
      <c r="J35" s="307">
        <f t="shared" si="11"/>
        <v>0</v>
      </c>
      <c r="K35" s="310">
        <f t="shared" si="11"/>
        <v>0</v>
      </c>
      <c r="L35" s="290">
        <f t="shared" si="15"/>
        <v>0</v>
      </c>
      <c r="M35" s="307">
        <f t="shared" si="12"/>
        <v>0</v>
      </c>
      <c r="N35" s="312"/>
      <c r="O35" s="302"/>
      <c r="P35" s="302"/>
      <c r="Q35" s="313"/>
      <c r="R35" s="20">
        <f t="shared" si="13"/>
        <v>0</v>
      </c>
    </row>
    <row r="36" spans="1:18" s="4" customFormat="1" x14ac:dyDescent="0.2">
      <c r="A36" s="329"/>
      <c r="B36" s="330"/>
      <c r="C36" s="331"/>
      <c r="D36" s="329"/>
      <c r="E36" s="332"/>
      <c r="G36" s="334">
        <f t="shared" si="8"/>
        <v>0</v>
      </c>
      <c r="H36" s="322">
        <f t="shared" si="10"/>
        <v>0</v>
      </c>
      <c r="I36" s="323">
        <f t="shared" si="14"/>
        <v>0</v>
      </c>
      <c r="J36" s="324">
        <f t="shared" si="11"/>
        <v>0</v>
      </c>
      <c r="K36" s="325">
        <f t="shared" si="11"/>
        <v>0</v>
      </c>
      <c r="L36" s="323">
        <f t="shared" si="15"/>
        <v>0</v>
      </c>
      <c r="M36" s="324">
        <f t="shared" si="12"/>
        <v>0</v>
      </c>
      <c r="N36" s="326"/>
      <c r="O36" s="327"/>
      <c r="P36" s="327"/>
      <c r="Q36" s="328"/>
      <c r="R36" s="20">
        <f t="shared" si="13"/>
        <v>0</v>
      </c>
    </row>
    <row r="37" spans="1:18" s="14" customFormat="1" x14ac:dyDescent="0.2">
      <c r="A37" s="269" t="s">
        <v>67</v>
      </c>
      <c r="B37" s="279">
        <f>SUM(B26:B36)</f>
        <v>53650</v>
      </c>
      <c r="C37" s="283">
        <f>SUM(C26:C36)</f>
        <v>35515704.948832572</v>
      </c>
      <c r="D37" s="276">
        <f>SUM(D26:D36)</f>
        <v>50100</v>
      </c>
      <c r="E37" s="276">
        <f>SUM(E26:E36)</f>
        <v>36128315.516282611</v>
      </c>
      <c r="G37" s="305" t="s">
        <v>93</v>
      </c>
      <c r="H37" s="308">
        <f t="shared" ref="H37:M37" si="16">SUM(H26:H36)</f>
        <v>53650</v>
      </c>
      <c r="I37" s="303">
        <f t="shared" si="16"/>
        <v>1</v>
      </c>
      <c r="J37" s="309">
        <f t="shared" si="16"/>
        <v>35515704.948832572</v>
      </c>
      <c r="K37" s="308">
        <f t="shared" si="16"/>
        <v>50100</v>
      </c>
      <c r="L37" s="303">
        <f t="shared" si="16"/>
        <v>1</v>
      </c>
      <c r="M37" s="311">
        <f t="shared" si="16"/>
        <v>36128315.516282611</v>
      </c>
      <c r="N37" s="314">
        <f t="shared" ref="N37:R37" si="17">SUM(N26:N36)</f>
        <v>612610.56745004095</v>
      </c>
      <c r="O37" s="304">
        <f t="shared" si="17"/>
        <v>2811049.5094488086</v>
      </c>
      <c r="P37" s="304">
        <f t="shared" si="17"/>
        <v>-2350060.6256916239</v>
      </c>
      <c r="Q37" s="311">
        <f t="shared" si="17"/>
        <v>151621.68369285774</v>
      </c>
      <c r="R37" s="20">
        <f t="shared" si="17"/>
        <v>-8.7311491370201111E-10</v>
      </c>
    </row>
    <row r="38" spans="1:18" s="4" customFormat="1" x14ac:dyDescent="0.2">
      <c r="A38" s="394" t="s">
        <v>66</v>
      </c>
      <c r="C38" s="5" t="b">
        <f>C37='Факторный анализ_прибыль'!C31</f>
        <v>1</v>
      </c>
      <c r="D38" s="5" t="b">
        <f>D37=B19</f>
        <v>1</v>
      </c>
      <c r="E38" s="5" t="b">
        <f>E37=C19</f>
        <v>1</v>
      </c>
    </row>
    <row r="39" spans="1:18" s="4" customFormat="1" x14ac:dyDescent="0.2">
      <c r="C39" s="229">
        <f>C22-SUM(C26:C28)</f>
        <v>12112380.697335564</v>
      </c>
      <c r="I39" s="5"/>
    </row>
    <row r="40" spans="1:18" s="16" customFormat="1" x14ac:dyDescent="0.25">
      <c r="C40" s="228"/>
      <c r="F40" s="8"/>
    </row>
    <row r="41" spans="1:18" x14ac:dyDescent="0.2">
      <c r="A41" s="6"/>
      <c r="B41" s="224" t="s">
        <v>43</v>
      </c>
      <c r="C41" s="224"/>
      <c r="D41" s="224"/>
      <c r="E41" s="224"/>
      <c r="F41" s="224"/>
      <c r="G41" s="224"/>
      <c r="H41" s="224"/>
      <c r="I41" s="224"/>
      <c r="J41" s="6"/>
      <c r="K41" s="6"/>
      <c r="L41" s="6"/>
    </row>
    <row r="42" spans="1:18" x14ac:dyDescent="0.2">
      <c r="B42" s="4" t="s">
        <v>116</v>
      </c>
    </row>
    <row r="49" spans="4:12" x14ac:dyDescent="0.2">
      <c r="D49" s="17"/>
      <c r="L49" s="18"/>
    </row>
    <row r="50" spans="4:12" x14ac:dyDescent="0.2">
      <c r="I50" s="14"/>
      <c r="L50" s="18"/>
    </row>
    <row r="51" spans="4:12" x14ac:dyDescent="0.2">
      <c r="L51" s="18"/>
    </row>
  </sheetData>
  <mergeCells count="17">
    <mergeCell ref="N4:N5"/>
    <mergeCell ref="N24:Q24"/>
    <mergeCell ref="R24:R25"/>
    <mergeCell ref="A4:A5"/>
    <mergeCell ref="B4:B5"/>
    <mergeCell ref="C4:C5"/>
    <mergeCell ref="A24:A25"/>
    <mergeCell ref="B24:C24"/>
    <mergeCell ref="D24:E24"/>
    <mergeCell ref="G24:G25"/>
    <mergeCell ref="H24:J24"/>
    <mergeCell ref="K24:M24"/>
    <mergeCell ref="G4:G5"/>
    <mergeCell ref="H4:H5"/>
    <mergeCell ref="I4:I5"/>
    <mergeCell ref="J4:L4"/>
    <mergeCell ref="M4:M5"/>
  </mergeCells>
  <pageMargins left="0.51181102362204722" right="0.35433070866141736" top="0.74803149606299213" bottom="0.74803149606299213" header="0.31496062992125984" footer="0.31496062992125984"/>
  <pageSetup paperSize="9" scale="52" orientation="landscape" r:id="rId1"/>
  <headerFooter>
    <oddFooter>&amp;L&amp;9&amp;Z&amp;F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view="pageBreakPreview" zoomScale="80" zoomScaleNormal="80" zoomScaleSheetLayoutView="80" workbookViewId="0">
      <selection activeCell="B1" sqref="B1"/>
    </sheetView>
  </sheetViews>
  <sheetFormatPr defaultRowHeight="12.75" x14ac:dyDescent="0.25"/>
  <cols>
    <col min="1" max="1" width="30.85546875" style="19" customWidth="1"/>
    <col min="2" max="3" width="12.7109375" style="19" bestFit="1" customWidth="1"/>
    <col min="4" max="4" width="14.28515625" style="19" bestFit="1" customWidth="1"/>
    <col min="5" max="6" width="12.28515625" style="19" bestFit="1" customWidth="1"/>
    <col min="7" max="7" width="14.28515625" style="19" bestFit="1" customWidth="1"/>
    <col min="8" max="16384" width="9.140625" style="19"/>
  </cols>
  <sheetData>
    <row r="1" spans="1:12" s="4" customFormat="1" x14ac:dyDescent="0.2">
      <c r="A1" s="2"/>
      <c r="B1" s="427" t="s">
        <v>58</v>
      </c>
      <c r="C1" s="3"/>
      <c r="L1" s="5"/>
    </row>
    <row r="2" spans="1:12" s="406" customFormat="1" x14ac:dyDescent="0.25"/>
    <row r="3" spans="1:12" s="406" customFormat="1" x14ac:dyDescent="0.25">
      <c r="A3" s="336" t="s">
        <v>115</v>
      </c>
      <c r="B3" s="337"/>
      <c r="C3" s="337"/>
      <c r="D3" s="337"/>
      <c r="E3" s="337"/>
      <c r="F3" s="337"/>
      <c r="G3" s="337"/>
    </row>
    <row r="4" spans="1:12" s="406" customFormat="1" x14ac:dyDescent="0.25">
      <c r="A4" s="399" t="s">
        <v>34</v>
      </c>
      <c r="B4" s="400" t="s">
        <v>94</v>
      </c>
      <c r="C4" s="400"/>
      <c r="D4" s="400"/>
      <c r="F4" s="412"/>
      <c r="G4" s="412"/>
    </row>
    <row r="5" spans="1:12" s="406" customFormat="1" x14ac:dyDescent="0.25">
      <c r="A5" s="401"/>
      <c r="B5" s="266" t="s">
        <v>84</v>
      </c>
      <c r="C5" s="266" t="s">
        <v>85</v>
      </c>
      <c r="D5" s="266" t="s">
        <v>95</v>
      </c>
      <c r="E5" s="412"/>
      <c r="F5" s="412"/>
      <c r="G5" s="412"/>
    </row>
    <row r="6" spans="1:12" s="406" customFormat="1" x14ac:dyDescent="0.2">
      <c r="A6" s="402" t="s">
        <v>102</v>
      </c>
      <c r="B6" s="274">
        <f>'Факторный анализ_прибыль'!C35</f>
        <v>4706105.7950775083</v>
      </c>
      <c r="C6" s="274">
        <f>'Факторный анализ_прибыль'!C43</f>
        <v>4712388.9803846888</v>
      </c>
      <c r="D6" s="395">
        <f>C6-B6</f>
        <v>6283.185307180509</v>
      </c>
    </row>
    <row r="7" spans="1:12" s="406" customFormat="1" x14ac:dyDescent="0.25">
      <c r="A7" s="408"/>
      <c r="B7" s="409"/>
      <c r="C7" s="409"/>
      <c r="D7" s="409"/>
    </row>
    <row r="8" spans="1:12" s="406" customFormat="1" x14ac:dyDescent="0.25">
      <c r="E8" s="410">
        <f>'Факторный анализ_прибыль'!C32</f>
        <v>14200553.640025135</v>
      </c>
      <c r="F8" s="410">
        <f>'Факторный анализ_прибыль'!C40</f>
        <v>14136796.422224389</v>
      </c>
    </row>
    <row r="9" spans="1:12" s="406" customFormat="1" x14ac:dyDescent="0.25">
      <c r="A9" s="239" t="s">
        <v>82</v>
      </c>
      <c r="B9" s="337"/>
      <c r="C9" s="337"/>
      <c r="D9" s="337"/>
      <c r="E9" s="337"/>
      <c r="F9" s="337"/>
      <c r="G9" s="337"/>
    </row>
    <row r="10" spans="1:12" s="413" customFormat="1" x14ac:dyDescent="0.25">
      <c r="A10" s="381" t="s">
        <v>103</v>
      </c>
      <c r="B10" s="384" t="s">
        <v>104</v>
      </c>
      <c r="C10" s="382"/>
      <c r="D10" s="380"/>
      <c r="E10" s="382" t="s">
        <v>105</v>
      </c>
      <c r="F10" s="382"/>
      <c r="G10" s="382"/>
    </row>
    <row r="11" spans="1:12" s="413" customFormat="1" x14ac:dyDescent="0.25">
      <c r="A11" s="382"/>
      <c r="B11" s="292" t="str">
        <f>B5</f>
        <v>План</v>
      </c>
      <c r="C11" s="266" t="str">
        <f>C5</f>
        <v>Факт</v>
      </c>
      <c r="D11" s="284" t="s">
        <v>95</v>
      </c>
      <c r="E11" s="266" t="str">
        <f>B11</f>
        <v>План</v>
      </c>
      <c r="F11" s="266" t="str">
        <f>C11</f>
        <v>Факт</v>
      </c>
      <c r="G11" s="266" t="s">
        <v>95</v>
      </c>
    </row>
    <row r="12" spans="1:12" s="411" customFormat="1" x14ac:dyDescent="0.25">
      <c r="A12" s="414" t="s">
        <v>67</v>
      </c>
      <c r="B12" s="415">
        <f>SUM(B13:B20)</f>
        <v>53650</v>
      </c>
      <c r="C12" s="403">
        <f t="shared" ref="C12:G12" si="0">SUM(C13:C20)</f>
        <v>50100</v>
      </c>
      <c r="D12" s="416">
        <f t="shared" si="0"/>
        <v>-3550</v>
      </c>
      <c r="E12" s="403">
        <f t="shared" si="0"/>
        <v>1033.6420000000001</v>
      </c>
      <c r="F12" s="403">
        <f t="shared" si="0"/>
        <v>1120.499</v>
      </c>
      <c r="G12" s="417">
        <f t="shared" si="0"/>
        <v>86.857000000000028</v>
      </c>
    </row>
    <row r="13" spans="1:12" s="406" customFormat="1" x14ac:dyDescent="0.2">
      <c r="A13" s="274" t="s">
        <v>89</v>
      </c>
      <c r="B13" s="278">
        <f>'Факторный анализ_выручка'!B26</f>
        <v>13500</v>
      </c>
      <c r="C13" s="274">
        <f>'Факторный анализ_выручка'!D26</f>
        <v>12525</v>
      </c>
      <c r="D13" s="418">
        <f>C13-B13</f>
        <v>-975</v>
      </c>
      <c r="E13" s="388">
        <v>265</v>
      </c>
      <c r="F13" s="389">
        <v>282</v>
      </c>
      <c r="G13" s="409">
        <f>F13-E13</f>
        <v>17</v>
      </c>
    </row>
    <row r="14" spans="1:12" s="406" customFormat="1" x14ac:dyDescent="0.2">
      <c r="A14" s="274" t="s">
        <v>90</v>
      </c>
      <c r="B14" s="278">
        <f>'Факторный анализ_выручка'!B27</f>
        <v>8100</v>
      </c>
      <c r="C14" s="274">
        <f>'Факторный анализ_выручка'!D27</f>
        <v>8000</v>
      </c>
      <c r="D14" s="418">
        <f t="shared" ref="D14:D20" si="1">C14-B14</f>
        <v>-100</v>
      </c>
      <c r="E14" s="423">
        <v>229.642</v>
      </c>
      <c r="F14" s="423">
        <v>278.49900000000002</v>
      </c>
      <c r="G14" s="424">
        <f t="shared" ref="G14:G20" si="2">F14-E14</f>
        <v>48.857000000000028</v>
      </c>
    </row>
    <row r="15" spans="1:12" s="406" customFormat="1" x14ac:dyDescent="0.2">
      <c r="A15" s="274" t="s">
        <v>91</v>
      </c>
      <c r="B15" s="278">
        <f>'Факторный анализ_выручка'!B28</f>
        <v>10050</v>
      </c>
      <c r="C15" s="274">
        <f>'Факторный анализ_выручка'!D28</f>
        <v>10000</v>
      </c>
      <c r="D15" s="418">
        <f t="shared" si="1"/>
        <v>-50</v>
      </c>
      <c r="E15" s="389">
        <v>259</v>
      </c>
      <c r="F15" s="389">
        <v>270</v>
      </c>
      <c r="G15" s="409">
        <f t="shared" si="2"/>
        <v>11</v>
      </c>
    </row>
    <row r="16" spans="1:12" s="406" customFormat="1" x14ac:dyDescent="0.2">
      <c r="A16" s="274" t="s">
        <v>92</v>
      </c>
      <c r="B16" s="278">
        <f>'Факторный анализ_выручка'!B29</f>
        <v>22000</v>
      </c>
      <c r="C16" s="274">
        <f>'Факторный анализ_выручка'!D29</f>
        <v>19575</v>
      </c>
      <c r="D16" s="418">
        <f t="shared" si="1"/>
        <v>-2425</v>
      </c>
      <c r="E16" s="389">
        <v>280</v>
      </c>
      <c r="F16" s="389">
        <v>290</v>
      </c>
      <c r="G16" s="409">
        <f t="shared" si="2"/>
        <v>10</v>
      </c>
    </row>
    <row r="17" spans="1:7" s="406" customFormat="1" x14ac:dyDescent="0.2">
      <c r="A17" s="274"/>
      <c r="B17" s="278"/>
      <c r="C17" s="274"/>
      <c r="D17" s="418">
        <f t="shared" si="1"/>
        <v>0</v>
      </c>
      <c r="E17" s="389"/>
      <c r="F17" s="389"/>
      <c r="G17" s="409">
        <f t="shared" si="2"/>
        <v>0</v>
      </c>
    </row>
    <row r="18" spans="1:7" s="406" customFormat="1" x14ac:dyDescent="0.2">
      <c r="A18" s="274"/>
      <c r="B18" s="278"/>
      <c r="C18" s="274"/>
      <c r="D18" s="418">
        <f t="shared" si="1"/>
        <v>0</v>
      </c>
      <c r="E18" s="389"/>
      <c r="F18" s="389"/>
      <c r="G18" s="409">
        <f t="shared" si="2"/>
        <v>0</v>
      </c>
    </row>
    <row r="19" spans="1:7" s="406" customFormat="1" x14ac:dyDescent="0.2">
      <c r="A19" s="274"/>
      <c r="B19" s="278"/>
      <c r="C19" s="274"/>
      <c r="D19" s="418">
        <f t="shared" si="1"/>
        <v>0</v>
      </c>
      <c r="E19" s="389"/>
      <c r="F19" s="389"/>
      <c r="G19" s="409">
        <f t="shared" si="2"/>
        <v>0</v>
      </c>
    </row>
    <row r="20" spans="1:7" s="406" customFormat="1" x14ac:dyDescent="0.2">
      <c r="A20" s="274" t="s">
        <v>106</v>
      </c>
      <c r="B20" s="278"/>
      <c r="C20" s="274"/>
      <c r="D20" s="418">
        <f t="shared" si="1"/>
        <v>0</v>
      </c>
      <c r="E20" s="389"/>
      <c r="F20" s="389"/>
      <c r="G20" s="409">
        <f t="shared" si="2"/>
        <v>0</v>
      </c>
    </row>
    <row r="21" spans="1:7" s="406" customFormat="1" x14ac:dyDescent="0.25">
      <c r="A21" s="419"/>
      <c r="B21" s="409"/>
      <c r="C21" s="409"/>
      <c r="D21" s="409"/>
      <c r="E21" s="420">
        <f>SUMPRODUCT(B13:B20,E13:E20)</f>
        <v>14200550.199999999</v>
      </c>
      <c r="F21" s="420">
        <f>SUMPRODUCT(C13:C20,F13:F20)</f>
        <v>14136792</v>
      </c>
      <c r="G21" s="409"/>
    </row>
    <row r="22" spans="1:7" s="406" customFormat="1" x14ac:dyDescent="0.25">
      <c r="A22" s="419"/>
      <c r="B22" s="409"/>
      <c r="C22" s="409"/>
      <c r="D22" s="409"/>
      <c r="E22" s="409"/>
      <c r="F22" s="409"/>
      <c r="G22" s="409"/>
    </row>
    <row r="23" spans="1:7" s="406" customFormat="1" x14ac:dyDescent="0.25">
      <c r="A23" s="336" t="s">
        <v>114</v>
      </c>
      <c r="B23" s="337"/>
      <c r="C23" s="337"/>
      <c r="D23" s="337"/>
      <c r="E23" s="337"/>
      <c r="F23" s="337"/>
      <c r="G23" s="337"/>
    </row>
    <row r="24" spans="1:7" s="406" customFormat="1" x14ac:dyDescent="0.25">
      <c r="A24" s="399" t="s">
        <v>34</v>
      </c>
      <c r="B24" s="400" t="s">
        <v>94</v>
      </c>
      <c r="C24" s="400"/>
      <c r="D24" s="400"/>
      <c r="F24" s="412"/>
      <c r="G24" s="412"/>
    </row>
    <row r="25" spans="1:7" s="406" customFormat="1" x14ac:dyDescent="0.25">
      <c r="A25" s="401"/>
      <c r="B25" s="266" t="str">
        <f>B11</f>
        <v>План</v>
      </c>
      <c r="C25" s="266" t="str">
        <f>C11</f>
        <v>Факт</v>
      </c>
      <c r="D25" s="266" t="s">
        <v>95</v>
      </c>
      <c r="E25" s="412"/>
      <c r="F25" s="412"/>
      <c r="G25" s="412"/>
    </row>
    <row r="26" spans="1:7" s="406" customFormat="1" ht="25.5" x14ac:dyDescent="0.25">
      <c r="A26" s="402" t="s">
        <v>96</v>
      </c>
      <c r="B26" s="395">
        <f>SUM(SUMPRODUCT(B13:B20,E13:E20),B6)</f>
        <v>18906655.995077506</v>
      </c>
      <c r="C26" s="395">
        <f>SUM(SUMPRODUCT(C13:C20,F13:F20),C6)</f>
        <v>18849180.980384689</v>
      </c>
      <c r="D26" s="403">
        <f>C26-B26</f>
        <v>-57475.014692816883</v>
      </c>
    </row>
    <row r="27" spans="1:7" s="406" customFormat="1" x14ac:dyDescent="0.25">
      <c r="A27" s="392" t="s">
        <v>97</v>
      </c>
      <c r="B27" s="390"/>
      <c r="C27" s="390"/>
      <c r="D27" s="390"/>
    </row>
    <row r="28" spans="1:7" s="406" customFormat="1" x14ac:dyDescent="0.25">
      <c r="A28" s="393" t="s">
        <v>98</v>
      </c>
      <c r="B28" s="391">
        <f>(SUMPRODUCT(B13:B20,E13:E20)*C12/B12+B6)-B26</f>
        <v>-939644.9806150943</v>
      </c>
      <c r="C28" s="391"/>
      <c r="D28" s="391"/>
    </row>
    <row r="29" spans="1:7" s="406" customFormat="1" x14ac:dyDescent="0.25">
      <c r="A29" s="393" t="s">
        <v>99</v>
      </c>
      <c r="B29" s="391">
        <f>(SUMPRODUCT(C13:C20,E13:E20)+B6)-(SUMPRODUCT(B13:B20,E13:E20)*C12/B12+B6)</f>
        <v>-33644.219384901226</v>
      </c>
      <c r="C29" s="391"/>
      <c r="D29" s="391"/>
    </row>
    <row r="30" spans="1:7" s="406" customFormat="1" x14ac:dyDescent="0.25">
      <c r="A30" s="393" t="s">
        <v>100</v>
      </c>
      <c r="B30" s="391">
        <f>SUMPRODUCT(SUMPRODUCT(C13:C20,F13:F20)+B6)-(SUMPRODUCT(C13:C20,E13:E20)+B6)</f>
        <v>909531</v>
      </c>
      <c r="C30" s="391"/>
      <c r="D30" s="391"/>
    </row>
    <row r="31" spans="1:7" s="406" customFormat="1" x14ac:dyDescent="0.25">
      <c r="A31" s="396" t="s">
        <v>101</v>
      </c>
      <c r="B31" s="397">
        <f>(SUMPRODUCT(C13:C20,F13:F20)+C6)-(SUMPRODUCT(C13:C20,F13:F20)+B6)</f>
        <v>6283.1853071786463</v>
      </c>
      <c r="C31" s="397"/>
      <c r="D31" s="397"/>
    </row>
    <row r="32" spans="1:7" s="407" customFormat="1" x14ac:dyDescent="0.25">
      <c r="A32" s="404" t="s">
        <v>66</v>
      </c>
      <c r="B32" s="405"/>
      <c r="C32" s="405" t="b">
        <f>D26=SUM(B28:D31)</f>
        <v>1</v>
      </c>
      <c r="D32" s="405"/>
    </row>
    <row r="33" spans="1:7" s="407" customFormat="1" x14ac:dyDescent="0.25">
      <c r="A33" s="425"/>
      <c r="B33" s="405"/>
      <c r="C33" s="405"/>
      <c r="D33" s="405"/>
    </row>
    <row r="34" spans="1:7" s="406" customFormat="1" x14ac:dyDescent="0.25">
      <c r="A34" s="408"/>
      <c r="B34" s="409"/>
      <c r="C34" s="409"/>
      <c r="D34" s="409"/>
    </row>
    <row r="35" spans="1:7" x14ac:dyDescent="0.25">
      <c r="A35" s="224" t="s">
        <v>43</v>
      </c>
      <c r="B35" s="224"/>
      <c r="C35" s="224"/>
      <c r="D35" s="224"/>
      <c r="E35" s="224"/>
      <c r="F35" s="224"/>
      <c r="G35" s="224"/>
    </row>
    <row r="36" spans="1:7" ht="32.25" customHeight="1" x14ac:dyDescent="0.25">
      <c r="A36" s="426" t="s">
        <v>117</v>
      </c>
      <c r="B36" s="426"/>
      <c r="C36" s="426"/>
      <c r="D36" s="426"/>
      <c r="E36" s="426"/>
      <c r="F36" s="426"/>
      <c r="G36" s="426"/>
    </row>
    <row r="37" spans="1:7" x14ac:dyDescent="0.25">
      <c r="A37" s="19" t="s">
        <v>118</v>
      </c>
    </row>
    <row r="38" spans="1:7" ht="26.25" customHeight="1" x14ac:dyDescent="0.25">
      <c r="A38" s="426" t="s">
        <v>119</v>
      </c>
      <c r="B38" s="426"/>
      <c r="C38" s="426"/>
      <c r="D38" s="426"/>
      <c r="E38" s="426"/>
      <c r="F38" s="426"/>
      <c r="G38" s="426"/>
    </row>
  </sheetData>
  <mergeCells count="14">
    <mergeCell ref="A38:G38"/>
    <mergeCell ref="A36:G36"/>
    <mergeCell ref="E10:G10"/>
    <mergeCell ref="A24:A25"/>
    <mergeCell ref="B24:D24"/>
    <mergeCell ref="B27:D27"/>
    <mergeCell ref="B28:D28"/>
    <mergeCell ref="B31:D31"/>
    <mergeCell ref="A4:A5"/>
    <mergeCell ref="B4:D4"/>
    <mergeCell ref="A10:A11"/>
    <mergeCell ref="B10:D10"/>
    <mergeCell ref="B29:D29"/>
    <mergeCell ref="B30:D30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180" verticalDpi="180" r:id="rId1"/>
  <headerFooter>
    <oddFooter>&amp;L&amp;9&amp;Z&amp;F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Факторный анализ_прибыль</vt:lpstr>
      <vt:lpstr>Факторный анализ_выручка</vt:lpstr>
      <vt:lpstr>Факторный анализ_себестоимость</vt:lpstr>
      <vt:lpstr>'Факторный анализ_выручка'!Область_печати</vt:lpstr>
      <vt:lpstr>'Факторный анализ_прибыль'!Область_печати</vt:lpstr>
      <vt:lpstr>'Факторный анализ_себестоимость'!Область_печати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Подготовлено экспертами Актион-МЦФЭР</dc:description>
  <cp:lastModifiedBy>Наталья В. Жильцова</cp:lastModifiedBy>
  <cp:lastPrinted>2022-08-04T07:56:32Z</cp:lastPrinted>
  <dcterms:created xsi:type="dcterms:W3CDTF">2019-06-08T21:13:03Z</dcterms:created>
  <dcterms:modified xsi:type="dcterms:W3CDTF">2022-08-04T09:10:30Z</dcterms:modified>
</cp:coreProperties>
</file>